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universityofwieauclaire.sharepoint.com/sites/COB-ONLINE/Shared Documents/MBA Marketing/Website/MBA Consortium-2016/"/>
    </mc:Choice>
  </mc:AlternateContent>
  <xr:revisionPtr revIDLastSave="3" documentId="8_{2B1864F3-1B52-414C-9D54-FAC921241C45}" xr6:coauthVersionLast="47" xr6:coauthVersionMax="47" xr10:uidLastSave="{318DB600-D0E5-4F7D-BFDF-F04AE7D46753}"/>
  <bookViews>
    <workbookView xWindow="13050" yWindow="330" windowWidth="22455" windowHeight="20490" xr2:uid="{00000000-000D-0000-FFFF-FFFF00000000}"/>
  </bookViews>
  <sheets>
    <sheet name="START HERE--&gt;Directions" sheetId="14" r:id="rId1"/>
    <sheet name="Fall Start Degree Plan" sheetId="11" r:id="rId2"/>
    <sheet name="Spring Start Degree Plan" sheetId="16" r:id="rId3"/>
    <sheet name="Summer Start Degree Plan" sheetId="19" r:id="rId4"/>
    <sheet name="Courses" sheetId="8" r:id="rId5"/>
    <sheet name="Alerts" sheetId="15" state="hidden" r:id="rId6"/>
  </sheets>
  <definedNames>
    <definedName name="DEGREE_TYPE">'START HERE--&gt;Directions'!$C$4</definedName>
    <definedName name="HCM_Elective_Warning">Alerts!$A$2</definedName>
    <definedName name="START_TERM">'START HERE--&gt;Directions'!$C$5</definedName>
    <definedName name="START_YEAR">'START HERE--&gt;Directions'!$C$6</definedName>
    <definedName name="YOUR_NAME">'START HERE--&gt;Directions'!$C$3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19" l="1"/>
  <c r="F62" i="16"/>
  <c r="F62" i="11"/>
  <c r="E3" i="8"/>
  <c r="E4" i="8"/>
  <c r="E5" i="8"/>
  <c r="E10" i="8"/>
  <c r="E11" i="8"/>
  <c r="E12" i="8"/>
  <c r="E13" i="8"/>
  <c r="E18" i="8"/>
  <c r="E19" i="8"/>
  <c r="E20" i="8"/>
  <c r="E21" i="8"/>
  <c r="E22" i="8"/>
  <c r="E23" i="8"/>
  <c r="E24" i="8"/>
  <c r="E29" i="8"/>
  <c r="E30" i="8"/>
  <c r="E31" i="8"/>
  <c r="E32" i="8"/>
  <c r="E37" i="8"/>
  <c r="E38" i="8"/>
  <c r="E39" i="8"/>
  <c r="E44" i="8"/>
  <c r="E45" i="8"/>
  <c r="E46" i="8"/>
  <c r="E47" i="8"/>
  <c r="E48" i="8"/>
  <c r="E49" i="8"/>
  <c r="E50" i="8"/>
  <c r="E51" i="8"/>
  <c r="E52" i="8"/>
  <c r="E53" i="8"/>
  <c r="E58" i="8"/>
  <c r="E59" i="8"/>
  <c r="E60" i="8"/>
  <c r="E61" i="8"/>
  <c r="E62" i="8"/>
  <c r="E63" i="8"/>
  <c r="E64" i="8"/>
  <c r="E65" i="8"/>
  <c r="E66" i="8"/>
  <c r="E67" i="8"/>
  <c r="E68" i="8"/>
  <c r="E82" i="8"/>
  <c r="C17" i="19"/>
  <c r="C16" i="19"/>
  <c r="C15" i="19"/>
  <c r="C14" i="19"/>
  <c r="B9" i="19"/>
  <c r="C94" i="19"/>
  <c r="C93" i="19"/>
  <c r="C92" i="19"/>
  <c r="C91" i="19"/>
  <c r="F90" i="19"/>
  <c r="C90" i="19"/>
  <c r="F89" i="19"/>
  <c r="C89" i="19"/>
  <c r="E87" i="19"/>
  <c r="B87" i="19"/>
  <c r="C83" i="19"/>
  <c r="C82" i="19"/>
  <c r="F81" i="19"/>
  <c r="C81" i="19"/>
  <c r="F80" i="19"/>
  <c r="C80" i="19"/>
  <c r="F79" i="19"/>
  <c r="C79" i="19"/>
  <c r="F78" i="19"/>
  <c r="C78" i="19"/>
  <c r="E76" i="19"/>
  <c r="B76" i="19"/>
  <c r="C72" i="19"/>
  <c r="C71" i="19"/>
  <c r="C70" i="19"/>
  <c r="C69" i="19"/>
  <c r="F68" i="19"/>
  <c r="C68" i="19"/>
  <c r="F67" i="19"/>
  <c r="C67" i="19"/>
  <c r="E65" i="19"/>
  <c r="B65" i="19"/>
  <c r="C61" i="19"/>
  <c r="C60" i="19"/>
  <c r="F59" i="19"/>
  <c r="C59" i="19"/>
  <c r="F58" i="19"/>
  <c r="C58" i="19"/>
  <c r="F57" i="19"/>
  <c r="C57" i="19"/>
  <c r="F56" i="19"/>
  <c r="C56" i="19"/>
  <c r="E54" i="19"/>
  <c r="B54" i="19"/>
  <c r="C50" i="19"/>
  <c r="C49" i="19"/>
  <c r="C48" i="19"/>
  <c r="C47" i="19"/>
  <c r="F46" i="19"/>
  <c r="C46" i="19"/>
  <c r="F45" i="19"/>
  <c r="C45" i="19"/>
  <c r="E43" i="19"/>
  <c r="B43" i="19"/>
  <c r="C39" i="19"/>
  <c r="C38" i="19"/>
  <c r="F37" i="19"/>
  <c r="C37" i="19"/>
  <c r="F36" i="19"/>
  <c r="C36" i="19"/>
  <c r="F35" i="19"/>
  <c r="C35" i="19"/>
  <c r="F34" i="19"/>
  <c r="C34" i="19"/>
  <c r="E32" i="19"/>
  <c r="B32" i="19"/>
  <c r="C28" i="19"/>
  <c r="C27" i="19"/>
  <c r="C26" i="19"/>
  <c r="C25" i="19"/>
  <c r="F24" i="19"/>
  <c r="C24" i="19"/>
  <c r="F23" i="19"/>
  <c r="C23" i="19"/>
  <c r="E21" i="19"/>
  <c r="B21" i="19"/>
  <c r="C13" i="19"/>
  <c r="C12" i="19"/>
  <c r="C11" i="19"/>
  <c r="B2" i="19"/>
  <c r="F73" i="19" l="1"/>
  <c r="F51" i="19"/>
  <c r="F40" i="19"/>
  <c r="F84" i="19"/>
  <c r="C18" i="19"/>
  <c r="C62" i="19"/>
  <c r="F95" i="19"/>
  <c r="F29" i="19"/>
  <c r="C40" i="19"/>
  <c r="C84" i="19"/>
  <c r="C51" i="19"/>
  <c r="C73" i="19"/>
  <c r="C29" i="19"/>
  <c r="C95" i="19"/>
  <c r="C5" i="19"/>
  <c r="C94" i="16"/>
  <c r="C93" i="16"/>
  <c r="C92" i="16"/>
  <c r="C91" i="16"/>
  <c r="C83" i="16"/>
  <c r="C82" i="16"/>
  <c r="C81" i="16"/>
  <c r="C80" i="16"/>
  <c r="C72" i="16"/>
  <c r="C71" i="16"/>
  <c r="C70" i="16"/>
  <c r="C69" i="16"/>
  <c r="C61" i="16"/>
  <c r="C60" i="16"/>
  <c r="C59" i="16"/>
  <c r="C58" i="16"/>
  <c r="C50" i="16"/>
  <c r="C49" i="16"/>
  <c r="C48" i="16"/>
  <c r="C47" i="16"/>
  <c r="C39" i="16"/>
  <c r="C38" i="16"/>
  <c r="C37" i="16"/>
  <c r="C36" i="16"/>
  <c r="C28" i="16"/>
  <c r="C27" i="16"/>
  <c r="C26" i="16"/>
  <c r="C25" i="16"/>
  <c r="C17" i="16"/>
  <c r="C16" i="16"/>
  <c r="C15" i="16"/>
  <c r="C14" i="16"/>
  <c r="F14" i="16"/>
  <c r="F13" i="16"/>
  <c r="F12" i="16"/>
  <c r="F11" i="16"/>
  <c r="F90" i="16"/>
  <c r="F89" i="16"/>
  <c r="F81" i="16"/>
  <c r="F80" i="16"/>
  <c r="F79" i="16"/>
  <c r="F78" i="16"/>
  <c r="F68" i="16"/>
  <c r="F67" i="16"/>
  <c r="F59" i="16"/>
  <c r="F58" i="16"/>
  <c r="F57" i="16"/>
  <c r="F56" i="16"/>
  <c r="F46" i="16"/>
  <c r="F45" i="16"/>
  <c r="F37" i="16"/>
  <c r="F36" i="16"/>
  <c r="F35" i="16"/>
  <c r="F34" i="16"/>
  <c r="F24" i="16"/>
  <c r="F23" i="16"/>
  <c r="E87" i="16"/>
  <c r="B87" i="16"/>
  <c r="E76" i="16"/>
  <c r="B76" i="16"/>
  <c r="E65" i="16"/>
  <c r="B65" i="16"/>
  <c r="E54" i="16"/>
  <c r="B54" i="16"/>
  <c r="E43" i="16"/>
  <c r="B43" i="16"/>
  <c r="E32" i="16"/>
  <c r="B21" i="16"/>
  <c r="E9" i="16"/>
  <c r="B32" i="16"/>
  <c r="E21" i="16"/>
  <c r="B9" i="16"/>
  <c r="C90" i="16"/>
  <c r="C89" i="16"/>
  <c r="C79" i="16"/>
  <c r="C78" i="16"/>
  <c r="C68" i="16"/>
  <c r="C67" i="16"/>
  <c r="C57" i="16"/>
  <c r="C56" i="16"/>
  <c r="C46" i="16"/>
  <c r="C45" i="16"/>
  <c r="C35" i="16"/>
  <c r="C34" i="16"/>
  <c r="C24" i="16"/>
  <c r="C23" i="16"/>
  <c r="C13" i="16"/>
  <c r="C12" i="16"/>
  <c r="C11" i="16"/>
  <c r="B2" i="16"/>
  <c r="B2" i="11"/>
  <c r="F18" i="16" l="1"/>
  <c r="C6" i="19"/>
  <c r="D6" i="19" s="1"/>
  <c r="C5" i="16"/>
  <c r="D5" i="16" s="1"/>
  <c r="E3" i="19"/>
  <c r="D5" i="19"/>
  <c r="F73" i="16"/>
  <c r="F95" i="16"/>
  <c r="C18" i="16"/>
  <c r="C29" i="16"/>
  <c r="C51" i="16"/>
  <c r="F29" i="16"/>
  <c r="F51" i="16"/>
  <c r="C84" i="16"/>
  <c r="E3" i="11"/>
  <c r="C62" i="16"/>
  <c r="F84" i="16"/>
  <c r="C95" i="16"/>
  <c r="C40" i="16"/>
  <c r="F40" i="16"/>
  <c r="C73" i="16"/>
  <c r="E3" i="16"/>
  <c r="E87" i="11"/>
  <c r="B87" i="11"/>
  <c r="E76" i="11"/>
  <c r="B76" i="11"/>
  <c r="E65" i="11"/>
  <c r="B65" i="11"/>
  <c r="E54" i="11"/>
  <c r="B54" i="11"/>
  <c r="E77" i="8" s="1"/>
  <c r="E43" i="11"/>
  <c r="B43" i="11"/>
  <c r="E76" i="8" s="1"/>
  <c r="E32" i="11"/>
  <c r="B32" i="11"/>
  <c r="E75" i="8" s="1"/>
  <c r="E21" i="11"/>
  <c r="B21" i="11"/>
  <c r="E9" i="11"/>
  <c r="E17" i="8" s="1"/>
  <c r="B9" i="11"/>
  <c r="C12" i="11"/>
  <c r="F92" i="11"/>
  <c r="F91" i="11"/>
  <c r="F90" i="11"/>
  <c r="F89" i="11"/>
  <c r="F70" i="11"/>
  <c r="F69" i="11"/>
  <c r="F68" i="11"/>
  <c r="F67" i="11"/>
  <c r="F48" i="11"/>
  <c r="F47" i="11"/>
  <c r="F46" i="11"/>
  <c r="F45" i="11"/>
  <c r="F26" i="11"/>
  <c r="F25" i="11"/>
  <c r="F24" i="11"/>
  <c r="F23" i="11"/>
  <c r="C94" i="11"/>
  <c r="C93" i="11"/>
  <c r="C92" i="11"/>
  <c r="C91" i="11"/>
  <c r="C72" i="11"/>
  <c r="C71" i="11"/>
  <c r="C70" i="11"/>
  <c r="C69" i="11"/>
  <c r="C50" i="11"/>
  <c r="C49" i="11"/>
  <c r="C48" i="11"/>
  <c r="C47" i="11"/>
  <c r="C28" i="11"/>
  <c r="C27" i="11"/>
  <c r="C26" i="11"/>
  <c r="C25" i="11"/>
  <c r="C90" i="11"/>
  <c r="C89" i="11"/>
  <c r="C68" i="11"/>
  <c r="C67" i="11"/>
  <c r="C46" i="11"/>
  <c r="C45" i="11"/>
  <c r="C24" i="11"/>
  <c r="C23" i="11"/>
  <c r="F79" i="11"/>
  <c r="F78" i="11"/>
  <c r="F57" i="11"/>
  <c r="F56" i="11"/>
  <c r="F35" i="11"/>
  <c r="F34" i="11"/>
  <c r="F12" i="11"/>
  <c r="F11" i="11"/>
  <c r="C83" i="11"/>
  <c r="C82" i="11"/>
  <c r="C81" i="11"/>
  <c r="C80" i="11"/>
  <c r="C79" i="11"/>
  <c r="C78" i="11"/>
  <c r="C61" i="11"/>
  <c r="C60" i="11"/>
  <c r="C59" i="11"/>
  <c r="C58" i="11"/>
  <c r="C57" i="11"/>
  <c r="C56" i="11"/>
  <c r="C39" i="11"/>
  <c r="C38" i="11"/>
  <c r="C37" i="11"/>
  <c r="C36" i="11"/>
  <c r="C35" i="11"/>
  <c r="C34" i="11"/>
  <c r="C17" i="11"/>
  <c r="C16" i="11"/>
  <c r="C15" i="11"/>
  <c r="C14" i="11"/>
  <c r="C13" i="11"/>
  <c r="C11" i="11"/>
  <c r="C7" i="19" l="1"/>
  <c r="D7" i="19" s="1"/>
  <c r="E2" i="8"/>
  <c r="E80" i="8"/>
  <c r="E73" i="8"/>
  <c r="E9" i="8"/>
  <c r="E79" i="8"/>
  <c r="E28" i="8"/>
  <c r="E72" i="8"/>
  <c r="E74" i="8"/>
  <c r="E36" i="8"/>
  <c r="E78" i="8"/>
  <c r="E81" i="8"/>
  <c r="C6" i="16"/>
  <c r="D6" i="16" s="1"/>
  <c r="E43" i="8"/>
  <c r="E57" i="8"/>
  <c r="C5" i="11"/>
  <c r="D5" i="11" s="1"/>
  <c r="F18" i="11"/>
  <c r="F51" i="11"/>
  <c r="F40" i="11"/>
  <c r="C62" i="11"/>
  <c r="F73" i="11"/>
  <c r="C73" i="11"/>
  <c r="C95" i="11"/>
  <c r="F84" i="11"/>
  <c r="F29" i="11"/>
  <c r="F95" i="11"/>
  <c r="C40" i="11"/>
  <c r="C29" i="11"/>
  <c r="C51" i="11"/>
  <c r="C84" i="11"/>
  <c r="C18" i="11"/>
  <c r="C7" i="16" l="1"/>
  <c r="D7" i="16" s="1"/>
  <c r="C6" i="11"/>
  <c r="D6" i="11" s="1"/>
  <c r="C7" i="11" l="1"/>
  <c r="D7" i="11" s="1"/>
</calcChain>
</file>

<file path=xl/sharedStrings.xml><?xml version="1.0" encoding="utf-8"?>
<sst xmlns="http://schemas.openxmlformats.org/spreadsheetml/2006/main" count="601" uniqueCount="108">
  <si>
    <t>Your Information</t>
  </si>
  <si>
    <t>Your Name:</t>
  </si>
  <si>
    <t>YOUR NAME HERE</t>
  </si>
  <si>
    <t>Your Emphasis:</t>
  </si>
  <si>
    <t>Select your emphasis</t>
  </si>
  <si>
    <t>Your First Term:</t>
  </si>
  <si>
    <t>Spring</t>
  </si>
  <si>
    <t>Your First Year:</t>
  </si>
  <si>
    <t>Directions</t>
  </si>
  <si>
    <t>Step 1:</t>
  </si>
  <si>
    <t>Select the tab at the bottom that aligns with the semester you began, or plan to begin, your MBA studies (Fall, Spring, or Summer start term). </t>
  </si>
  <si>
    <t>Step 2:</t>
  </si>
  <si>
    <t>On the Degree Plan sheet, choose your courses by clicking on the yellow or blue cells and accessing the drop down arrow that appears to the right of the cell. This will present a selection of courses available during that term.</t>
  </si>
  <si>
    <t>NOTE: Elective courses can start in the first or second half of the term. These course offerings vary. </t>
  </si>
  <si>
    <t>Step 3:</t>
  </si>
  <si>
    <t>Use the following resources to help you draft your degree plan:</t>
  </si>
  <si>
    <t>Planning your degree KB article </t>
  </si>
  <si>
    <t>MBA Course Catalog links:</t>
  </si>
  <si>
    <t>Core Courses</t>
  </si>
  <si>
    <t>Business Essentials Courses</t>
  </si>
  <si>
    <t>Elective Courses </t>
  </si>
  <si>
    <t>If you are in MBA 700, reach out to your instructor. You can also reach out your advisor, Pang Kou Khang at mba@uwec.edu.</t>
  </si>
  <si>
    <t>Step 4:</t>
  </si>
  <si>
    <r>
      <rPr>
        <b/>
        <i/>
        <sz val="12"/>
        <color theme="1"/>
        <rFont val="Calibri"/>
        <family val="2"/>
        <scheme val="minor"/>
      </rPr>
      <t>MBA 700 assignment</t>
    </r>
    <r>
      <rPr>
        <i/>
        <sz val="12"/>
        <color theme="1"/>
        <rFont val="Calibri"/>
        <family val="2"/>
        <scheme val="minor"/>
      </rPr>
      <t xml:space="preserve"> - Save and submit your file to the assignment page in Canvas once you are done.</t>
    </r>
  </si>
  <si>
    <t>Total Credits</t>
  </si>
  <si>
    <t>Credits</t>
  </si>
  <si>
    <t>Core/Business Essentials (26 credits required)</t>
  </si>
  <si>
    <t>Electives (10 credits required)</t>
  </si>
  <si>
    <t>DEGREE TOTAL (36 credits required)</t>
  </si>
  <si>
    <t>Course</t>
  </si>
  <si>
    <t>MBA 700 (7 wks) Defining your Plan for Success: The MBA Mindset - 1cr.</t>
  </si>
  <si>
    <t>Add course selection here</t>
  </si>
  <si>
    <t>MBA 708 (7wks) Essentials of Financial Analysis - 2cr.</t>
  </si>
  <si>
    <t>MBA 709 (7wks) Essentials of Economic and Statistical Analysis - 2cr.</t>
  </si>
  <si>
    <t>Add course selection here (1st half start)</t>
  </si>
  <si>
    <t>Add course selection here (2nd half start)</t>
  </si>
  <si>
    <t>TOTAL CREDITS</t>
  </si>
  <si>
    <t>MBA 701 (14 wks) Leading &amp; Communicating in Dynamic &amp; Diverse Organizations - 4cr.</t>
  </si>
  <si>
    <t>MBA 702 (14 wks) Making Informed Managerial Decisions - 4cr.</t>
  </si>
  <si>
    <t>MBA 703 (14 wks) Developing New Products and Services - 4cr.</t>
  </si>
  <si>
    <t>MBA 704 (14 wks) Competing Strategically in a Global Environment - 4cr.</t>
  </si>
  <si>
    <t>MBA 705 (14 wks) Navigating Change amid Uncertainty - 4cr.</t>
  </si>
  <si>
    <t>MBA 710 (14 wks) MBA Program Capstone - 1cr.</t>
  </si>
  <si>
    <t>Fall 1st 7 wks</t>
  </si>
  <si>
    <t>Course Type</t>
  </si>
  <si>
    <t>HCM Eligible</t>
  </si>
  <si>
    <t>Used in Planning</t>
  </si>
  <si>
    <t>MBA 761 (7 wks) Project Management - 1.5cr. (1st half start)</t>
  </si>
  <si>
    <t>Elective</t>
  </si>
  <si>
    <t>Yes</t>
  </si>
  <si>
    <t>MBA 762 (7 wks) Organizational Leadership and Change - 1.5cr. (1st half start)</t>
  </si>
  <si>
    <t>None</t>
  </si>
  <si>
    <t>Fall 2nd 7 wks</t>
  </si>
  <si>
    <t>MBA 747 (7 wks) Financial Statement Analysis - 2cr. (2nd half start)</t>
  </si>
  <si>
    <t>MBA 770 (7 wks) E-Business Fundamentals for Managers - 1.5cr. (2nd half start)</t>
  </si>
  <si>
    <t>No</t>
  </si>
  <si>
    <t>MBA 780 (7 wks) Leading the Healthcare Workforce - 2cr. (2nd half start)</t>
  </si>
  <si>
    <t>Winterim</t>
  </si>
  <si>
    <t>MBA 746 (3 wks) Mutual Fund Investing - 1cr.</t>
  </si>
  <si>
    <t>MBA 754 (3 wks) Fundamental Methods of Forecasting - 1cr.</t>
  </si>
  <si>
    <t>MBA 757 (3 wks) Managing Workplace Stress - 1cr.</t>
  </si>
  <si>
    <t>MBA 764 (3 wks) Work-Family Issues in Contemporary Times - 1cr.</t>
  </si>
  <si>
    <t>MBA 773 (3 wks) Communicating for Success: Writing for Results - 1cr.</t>
  </si>
  <si>
    <t>MBA 791 (3 wks) Intro to the Management and Marketing of Non-Profits - 1cr.</t>
  </si>
  <si>
    <t>Spring 1st 7 wks</t>
  </si>
  <si>
    <t>MBA 759 (7 wks) Selling Ideas at Work - 1.5cr.</t>
  </si>
  <si>
    <t>MBA 766 (7 wks) Contract Law for Managers - 2cr.</t>
  </si>
  <si>
    <t>MBA 789 (7 wks) Health Care Organization and Delivery - 2cr.</t>
  </si>
  <si>
    <t>Spring 2nd 7 wks</t>
  </si>
  <si>
    <t>MBA 763 (7 wks) Business and Ethics - 1.5cr.</t>
  </si>
  <si>
    <t>MBA 783 (7 wks) Informing Healthcare Decisions with Data Analytics - 2cr.</t>
  </si>
  <si>
    <t>Summer 1st 7 wks</t>
  </si>
  <si>
    <t>MBA 742 (7 wks) Introduction to Financial Fraud - 1.5cr.</t>
  </si>
  <si>
    <t>MBA 753 (7 wks) Corporate Venturing - 1.5cr.</t>
  </si>
  <si>
    <t>MBA 760 (7 wks) Employee Training and Development - 2cr.</t>
  </si>
  <si>
    <t>MBA 761 (7 wks) Project Management - 1.5cr.</t>
  </si>
  <si>
    <t>MBA 773 (3 wks) Communicating for Success: Writing for Results - 1cr.</t>
  </si>
  <si>
    <t>MBA 781 (7 wks) Fundamentals of Health Information Technology Management - 2cr.</t>
  </si>
  <si>
    <t>MBA 784 (7 wks) Supply Chain Management - 2cr.</t>
  </si>
  <si>
    <t>MBA 787 (7 wks) Quantitative Business Analysis - 1.5cr.</t>
  </si>
  <si>
    <t>Summer 2nd 7 wks</t>
  </si>
  <si>
    <t>MBA 755 (7 wks) Consumer Behavior - 1.5cr.</t>
  </si>
  <si>
    <t>MBA 757 (3 wks) Managing Workplace Stress - 1cr.</t>
  </si>
  <si>
    <t>MBA 758 (7 wks) Strategies and Tactics of Pricing - 2cr.</t>
  </si>
  <si>
    <t>MBA 762 (7 wks) Organizational Leadership and Change - 1.5cr.</t>
  </si>
  <si>
    <t>MBA 774 (7 wks) Sustainability and Organizational Management - 1.5cr. (ODD YEARS ONLY)</t>
  </si>
  <si>
    <t>MBA 778 (7 wks) Managing Technology in Turbulent Times - 2cr.</t>
  </si>
  <si>
    <t>MBA 782 (7 wks) Health Care Finance and Economics - 2cr.</t>
  </si>
  <si>
    <t>MBA 786 (7 wks) Addressing Contemporary Issues and Trends in Healthcare - 2cr.</t>
  </si>
  <si>
    <t>Core</t>
  </si>
  <si>
    <t>Business Essential</t>
  </si>
  <si>
    <t>Majors</t>
  </si>
  <si>
    <t>MBA (General Management)</t>
  </si>
  <si>
    <t>MBA in Healthcare Management</t>
  </si>
  <si>
    <t>Message</t>
  </si>
  <si>
    <t>Condition</t>
  </si>
  <si>
    <t>WARNING: You have selected one or more courses outside degree requirements for the MBA in Healthcare Management. MBA 746, MBA 749, MBA 758, MBA 770, MBA 771, and MBA 791 are not eligible to apply towards requirements. If you choose to take any of these classes, you will need to take additional elective credits.</t>
  </si>
  <si>
    <t>HCM Elective Warning</t>
  </si>
  <si>
    <t>You have less than the 26 core course credits required.</t>
  </si>
  <si>
    <t>less than 26 core course credits</t>
  </si>
  <si>
    <t>You have less than the 10 elective credits required.</t>
  </si>
  <si>
    <t>less than 10 elective credits</t>
  </si>
  <si>
    <t>You have more than the 36 total credits required.</t>
  </si>
  <si>
    <t>more than 36 total credits</t>
  </si>
  <si>
    <t>You have more than the 26 core course credits required.</t>
  </si>
  <si>
    <t>more than 26 core course credits</t>
  </si>
  <si>
    <t>You have more than the 10 elective credits required.</t>
  </si>
  <si>
    <t>more than 10 elective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</si>
</sst>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theme="1"/>
      <name val="Arial Black"/>
      <family val="2"/>
    </font>
    <font>
      <sz val="14"/>
      <color theme="1"/>
      <name val="Arial Black"/>
      <family val="2"/>
    </font>
    <font>
      <sz val="11"/>
      <color theme="1"/>
      <name val="Arial Black"/>
      <family val="2"/>
    </font>
    <font>
      <u/>
      <sz val="11"/>
      <color theme="10"/>
      <name val="Calibri"/>
      <family val="2"/>
      <scheme val="minor"/>
    </font>
    <font>
      <b/>
      <sz val="16"/>
      <color theme="1"/>
      <name val="Calibri"/>
      <family val="2"/>
      <scheme val="minor"/>
    </font>
    <font>
      <sz val="12"/>
      <color theme="0"/>
      <name val="Calibri"/>
      <family val="2"/>
      <scheme val="minor"/>
    </font>
    <font>
      <b/>
      <i/>
      <sz val="12"/>
      <color theme="1"/>
      <name val="Calibri"/>
      <family val="2"/>
      <scheme val="minor"/>
    </font>
    <font>
      <i/>
      <sz val="12"/>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s>
  <cellStyleXfs count="2">
    <xf numFmtId="0" fontId="0" fillId="0" borderId="0"/>
    <xf numFmtId="0" fontId="7" fillId="0" borderId="0" applyNumberFormat="0" applyFill="0" applyBorder="0" applyAlignment="0" applyProtection="0"/>
  </cellStyleXfs>
  <cellXfs count="72">
    <xf numFmtId="0" fontId="0" fillId="0" borderId="0" xfId="0"/>
    <xf numFmtId="0" fontId="1" fillId="0" borderId="0" xfId="0" applyFont="1"/>
    <xf numFmtId="0" fontId="0" fillId="0" borderId="0" xfId="0" applyAlignment="1">
      <alignment wrapText="1"/>
    </xf>
    <xf numFmtId="164" fontId="0" fillId="0" borderId="0" xfId="0" applyNumberFormat="1"/>
    <xf numFmtId="0" fontId="0" fillId="0" borderId="0" xfId="0" applyAlignment="1">
      <alignment horizontal="center" wrapText="1"/>
    </xf>
    <xf numFmtId="0" fontId="5" fillId="0" borderId="0" xfId="0" applyFont="1" applyAlignment="1">
      <alignment horizontal="center" wrapText="1"/>
    </xf>
    <xf numFmtId="0" fontId="2" fillId="2" borderId="6" xfId="0" applyFont="1" applyFill="1" applyBorder="1" applyAlignment="1">
      <alignment wrapText="1"/>
    </xf>
    <xf numFmtId="0" fontId="0" fillId="3" borderId="6" xfId="0" applyFill="1" applyBorder="1" applyAlignment="1" applyProtection="1">
      <alignment wrapText="1"/>
      <protection locked="0"/>
    </xf>
    <xf numFmtId="0" fontId="1" fillId="2" borderId="8" xfId="0" applyFont="1" applyFill="1" applyBorder="1" applyAlignment="1">
      <alignment wrapText="1"/>
    </xf>
    <xf numFmtId="0" fontId="0" fillId="0" borderId="6" xfId="0" applyBorder="1" applyAlignment="1">
      <alignment wrapText="1"/>
    </xf>
    <xf numFmtId="164" fontId="0" fillId="3" borderId="6" xfId="0" applyNumberFormat="1" applyFill="1" applyBorder="1" applyProtection="1">
      <protection locked="0"/>
    </xf>
    <xf numFmtId="0" fontId="1" fillId="4" borderId="6" xfId="0" applyFont="1" applyFill="1" applyBorder="1" applyAlignment="1" applyProtection="1">
      <alignment wrapText="1"/>
      <protection locked="0"/>
    </xf>
    <xf numFmtId="0" fontId="6" fillId="0" borderId="4" xfId="0" applyFont="1" applyBorder="1"/>
    <xf numFmtId="0" fontId="1" fillId="0" borderId="0" xfId="0" applyFont="1" applyAlignment="1">
      <alignment wrapText="1"/>
    </xf>
    <xf numFmtId="164" fontId="1" fillId="0" borderId="0" xfId="0" applyNumberFormat="1" applyFont="1"/>
    <xf numFmtId="0" fontId="3" fillId="0" borderId="0" xfId="0" applyFont="1"/>
    <xf numFmtId="0" fontId="3" fillId="0" borderId="0" xfId="0" applyFont="1" applyAlignment="1">
      <alignment horizontal="left" vertical="top" wrapText="1"/>
    </xf>
    <xf numFmtId="0" fontId="3" fillId="5" borderId="20" xfId="0" applyFont="1" applyFill="1" applyBorder="1" applyAlignment="1">
      <alignment horizontal="left" vertical="top" wrapText="1" indent="1"/>
    </xf>
    <xf numFmtId="0" fontId="3" fillId="4" borderId="18" xfId="0" applyFont="1" applyFill="1" applyBorder="1" applyAlignment="1">
      <alignment horizontal="left" vertical="top" wrapText="1" indent="1"/>
    </xf>
    <xf numFmtId="0" fontId="3" fillId="5" borderId="17" xfId="0" applyFont="1" applyFill="1" applyBorder="1" applyAlignment="1">
      <alignment horizontal="left" vertical="top" wrapText="1" indent="1"/>
    </xf>
    <xf numFmtId="0" fontId="2" fillId="5" borderId="12" xfId="0" applyFont="1" applyFill="1" applyBorder="1" applyAlignment="1">
      <alignment vertical="top"/>
    </xf>
    <xf numFmtId="0" fontId="2" fillId="4" borderId="13" xfId="0" applyFont="1" applyFill="1" applyBorder="1" applyAlignment="1">
      <alignment vertical="top"/>
    </xf>
    <xf numFmtId="0" fontId="2" fillId="4" borderId="15" xfId="0" applyFont="1" applyFill="1" applyBorder="1" applyAlignment="1">
      <alignment vertical="top"/>
    </xf>
    <xf numFmtId="0" fontId="2" fillId="5" borderId="13" xfId="0" applyFont="1" applyFill="1" applyBorder="1" applyAlignment="1">
      <alignment vertical="top"/>
    </xf>
    <xf numFmtId="0" fontId="2" fillId="5" borderId="14" xfId="0" applyFont="1" applyFill="1" applyBorder="1" applyAlignment="1">
      <alignment vertical="top"/>
    </xf>
    <xf numFmtId="0" fontId="2" fillId="5" borderId="15" xfId="0" applyFont="1" applyFill="1" applyBorder="1" applyAlignment="1">
      <alignment vertical="top"/>
    </xf>
    <xf numFmtId="0" fontId="3" fillId="4" borderId="19" xfId="0" applyFont="1" applyFill="1" applyBorder="1" applyAlignment="1">
      <alignment horizontal="left" vertical="top" wrapText="1" indent="4"/>
    </xf>
    <xf numFmtId="0" fontId="3" fillId="5" borderId="18" xfId="0" applyFont="1" applyFill="1" applyBorder="1" applyAlignment="1">
      <alignment horizontal="left" vertical="top" wrapText="1" indent="4"/>
    </xf>
    <xf numFmtId="0" fontId="3" fillId="5" borderId="19" xfId="0" applyFont="1" applyFill="1" applyBorder="1" applyAlignment="1">
      <alignment horizontal="left" vertical="top" wrapText="1" indent="4"/>
    </xf>
    <xf numFmtId="0" fontId="0" fillId="4" borderId="6" xfId="0" applyFill="1" applyBorder="1" applyAlignment="1">
      <alignment wrapText="1"/>
    </xf>
    <xf numFmtId="0" fontId="0" fillId="3" borderId="6" xfId="0" applyFill="1" applyBorder="1" applyAlignment="1">
      <alignment wrapText="1"/>
    </xf>
    <xf numFmtId="0" fontId="1" fillId="0" borderId="8" xfId="0" applyFont="1" applyBorder="1" applyAlignment="1">
      <alignment wrapText="1"/>
    </xf>
    <xf numFmtId="0" fontId="2" fillId="0" borderId="6" xfId="0" applyFont="1" applyBorder="1" applyAlignment="1">
      <alignment vertical="top"/>
    </xf>
    <xf numFmtId="0" fontId="3" fillId="0" borderId="7" xfId="0" applyFont="1" applyBorder="1" applyAlignment="1">
      <alignment horizontal="left" vertical="top" wrapText="1" indent="1"/>
    </xf>
    <xf numFmtId="0" fontId="2" fillId="0" borderId="8" xfId="0" applyFont="1" applyBorder="1" applyAlignment="1">
      <alignment vertical="top"/>
    </xf>
    <xf numFmtId="0" fontId="3" fillId="0" borderId="9" xfId="0" applyFont="1" applyBorder="1" applyAlignment="1">
      <alignment horizontal="left" vertical="top" wrapText="1" indent="1"/>
    </xf>
    <xf numFmtId="0" fontId="2" fillId="0" borderId="21" xfId="0" applyFont="1" applyBorder="1" applyAlignment="1">
      <alignment vertical="top"/>
    </xf>
    <xf numFmtId="0" fontId="3" fillId="0" borderId="22" xfId="0" applyFont="1" applyBorder="1" applyAlignment="1">
      <alignment horizontal="left" vertical="top" wrapText="1" indent="1"/>
    </xf>
    <xf numFmtId="0" fontId="6" fillId="0" borderId="0" xfId="0" applyFont="1"/>
    <xf numFmtId="164" fontId="2" fillId="2" borderId="7" xfId="0" applyNumberFormat="1" applyFont="1" applyFill="1" applyBorder="1" applyAlignment="1">
      <alignment horizontal="center"/>
    </xf>
    <xf numFmtId="164" fontId="0" fillId="0" borderId="0" xfId="0" applyNumberFormat="1" applyAlignment="1">
      <alignment horizontal="center"/>
    </xf>
    <xf numFmtId="164" fontId="0" fillId="4" borderId="7" xfId="0" applyNumberFormat="1" applyFill="1" applyBorder="1" applyAlignment="1">
      <alignment horizontal="center"/>
    </xf>
    <xf numFmtId="164" fontId="0" fillId="3" borderId="7" xfId="0" applyNumberFormat="1" applyFill="1" applyBorder="1" applyAlignment="1">
      <alignment horizontal="center"/>
    </xf>
    <xf numFmtId="164" fontId="1" fillId="0" borderId="9" xfId="0" applyNumberFormat="1" applyFont="1" applyBorder="1" applyAlignment="1">
      <alignment horizontal="center"/>
    </xf>
    <xf numFmtId="164" fontId="1" fillId="4" borderId="7" xfId="0" applyNumberFormat="1" applyFont="1" applyFill="1" applyBorder="1" applyAlignment="1">
      <alignment horizontal="center"/>
    </xf>
    <xf numFmtId="164" fontId="1" fillId="2" borderId="9" xfId="0" applyNumberFormat="1" applyFont="1" applyFill="1" applyBorder="1" applyAlignment="1">
      <alignment horizontal="center"/>
    </xf>
    <xf numFmtId="164" fontId="0" fillId="0" borderId="7" xfId="0" applyNumberFormat="1" applyBorder="1" applyAlignment="1">
      <alignment horizontal="center"/>
    </xf>
    <xf numFmtId="164" fontId="2" fillId="0" borderId="5" xfId="0" applyNumberFormat="1" applyFont="1" applyBorder="1" applyAlignment="1">
      <alignment horizontal="center"/>
    </xf>
    <xf numFmtId="0" fontId="7" fillId="5" borderId="18" xfId="1" applyFill="1" applyBorder="1" applyAlignment="1">
      <alignment horizontal="left" vertical="top" wrapText="1" indent="7"/>
    </xf>
    <xf numFmtId="0" fontId="1" fillId="0" borderId="0" xfId="0" applyFont="1" applyAlignment="1">
      <alignment horizontal="center" wrapText="1"/>
    </xf>
    <xf numFmtId="0" fontId="9" fillId="0" borderId="0" xfId="0" applyFont="1"/>
    <xf numFmtId="0" fontId="2" fillId="0" borderId="0" xfId="0" applyFont="1" applyAlignment="1">
      <alignment wrapText="1"/>
    </xf>
    <xf numFmtId="164" fontId="2" fillId="0" borderId="0" xfId="0" applyNumberFormat="1" applyFont="1" applyAlignment="1">
      <alignment horizontal="center"/>
    </xf>
    <xf numFmtId="0" fontId="0" fillId="0" borderId="0" xfId="0" applyAlignment="1" applyProtection="1">
      <alignment wrapText="1"/>
      <protection locked="0"/>
    </xf>
    <xf numFmtId="164" fontId="1" fillId="0" borderId="0" xfId="0" applyNumberFormat="1" applyFont="1" applyAlignment="1">
      <alignment horizontal="center"/>
    </xf>
    <xf numFmtId="0" fontId="4" fillId="0" borderId="0" xfId="0" applyFont="1" applyAlignment="1">
      <alignment wrapText="1"/>
    </xf>
    <xf numFmtId="0" fontId="7" fillId="5" borderId="18" xfId="1" applyFill="1" applyBorder="1" applyAlignment="1">
      <alignment horizontal="left" vertical="top" wrapText="1" indent="4"/>
    </xf>
    <xf numFmtId="0" fontId="10" fillId="4" borderId="12" xfId="0" applyFont="1" applyFill="1" applyBorder="1" applyAlignment="1">
      <alignment vertical="top"/>
    </xf>
    <xf numFmtId="0" fontId="11" fillId="4" borderId="19" xfId="0" applyFont="1" applyFill="1" applyBorder="1" applyAlignment="1">
      <alignment horizontal="left" vertical="top" wrapText="1" indent="1"/>
    </xf>
    <xf numFmtId="0" fontId="8" fillId="6" borderId="16" xfId="0" applyFont="1" applyFill="1" applyBorder="1" applyAlignment="1">
      <alignment horizontal="center" vertical="top" wrapText="1"/>
    </xf>
    <xf numFmtId="0" fontId="8" fillId="6" borderId="17" xfId="0" applyFont="1" applyFill="1" applyBorder="1" applyAlignment="1">
      <alignment horizontal="center" vertical="top" wrapText="1"/>
    </xf>
    <xf numFmtId="0" fontId="8" fillId="7" borderId="16" xfId="0" applyFont="1" applyFill="1" applyBorder="1" applyAlignment="1">
      <alignment horizontal="center" vertical="top" wrapText="1"/>
    </xf>
    <xf numFmtId="0" fontId="8" fillId="7" borderId="17" xfId="0" applyFont="1" applyFill="1" applyBorder="1" applyAlignment="1">
      <alignment horizontal="center" vertical="top" wrapText="1"/>
    </xf>
    <xf numFmtId="0" fontId="5" fillId="0" borderId="1" xfId="0" applyFont="1"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1" fillId="0" borderId="23" xfId="0" applyFont="1" applyBorder="1" applyAlignment="1">
      <alignment horizontal="center" vertical="top" wrapText="1"/>
    </xf>
    <xf numFmtId="0" fontId="1" fillId="0" borderId="0" xfId="0" applyFont="1" applyAlignment="1">
      <alignment horizontal="center" vertical="top" wrapText="1"/>
    </xf>
  </cellXfs>
  <cellStyles count="2">
    <cellStyle name="Hyperlink" xfId="1" builtinId="8"/>
    <cellStyle name="Normal" xfId="0" builtinId="0"/>
  </cellStyles>
  <dxfs count="35">
    <dxf>
      <font>
        <strike val="0"/>
        <color theme="0"/>
      </font>
      <fill>
        <patternFill>
          <bgColor rgb="FFFF0000"/>
        </patternFill>
      </fill>
    </dxf>
    <dxf>
      <font>
        <b val="0"/>
        <i val="0"/>
        <strike val="0"/>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strike val="0"/>
        <color theme="0"/>
      </font>
      <fill>
        <patternFill>
          <bgColor rgb="FFFF0000"/>
        </patternFill>
      </fill>
    </dxf>
    <dxf>
      <font>
        <b val="0"/>
        <i val="0"/>
        <strike val="0"/>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strike val="0"/>
        <color theme="0"/>
      </font>
      <fill>
        <patternFill>
          <bgColor rgb="FFFF0000"/>
        </patternFill>
      </fill>
    </dxf>
    <dxf>
      <font>
        <b val="0"/>
        <i val="0"/>
        <strike val="0"/>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color theme="1"/>
      </font>
      <fill>
        <patternFill>
          <bgColor rgb="FFFFC000"/>
        </patternFill>
      </fill>
    </dxf>
    <dxf>
      <font>
        <color auto="1"/>
      </font>
      <fill>
        <patternFill>
          <bgColor theme="9" tint="0.59996337778862885"/>
        </patternFill>
      </fill>
    </dxf>
    <dxf>
      <font>
        <b/>
        <i val="0"/>
        <strike val="0"/>
        <condense val="0"/>
        <extend val="0"/>
        <outline val="0"/>
        <shadow val="0"/>
        <u val="none"/>
        <vertAlign val="baseline"/>
        <sz val="11"/>
        <color theme="1"/>
        <name val="Calibri"/>
        <family val="2"/>
        <scheme val="minor"/>
      </font>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1"/>
        <color theme="1"/>
        <name val="Calibri"/>
        <family val="2"/>
        <scheme val="minor"/>
      </font>
    </dxf>
    <dxf>
      <numFmt numFmtId="0" formatCode="General"/>
    </dxf>
    <dxf>
      <font>
        <b/>
        <i val="0"/>
        <strike val="0"/>
        <condense val="0"/>
        <extend val="0"/>
        <outline val="0"/>
        <shadow val="0"/>
        <u val="none"/>
        <vertAlign val="baseline"/>
        <sz val="11"/>
        <color theme="1"/>
        <name val="Calibri"/>
        <family val="2"/>
        <scheme val="minor"/>
      </font>
    </dxf>
    <dxf>
      <numFmt numFmtId="0" formatCode="General"/>
    </dxf>
    <dxf>
      <font>
        <b/>
        <i val="0"/>
        <strike val="0"/>
        <condense val="0"/>
        <extend val="0"/>
        <outline val="0"/>
        <shadow val="0"/>
        <u val="none"/>
        <vertAlign val="baseline"/>
        <sz val="11"/>
        <color theme="1"/>
        <name val="Calibri"/>
        <family val="2"/>
        <scheme val="minor"/>
      </font>
    </dxf>
    <dxf>
      <numFmt numFmtId="0" formatCode="General"/>
    </dxf>
    <dxf>
      <font>
        <b/>
        <i val="0"/>
        <strike val="0"/>
        <condense val="0"/>
        <extend val="0"/>
        <outline val="0"/>
        <shadow val="0"/>
        <u val="none"/>
        <vertAlign val="baseline"/>
        <sz val="11"/>
        <color theme="1"/>
        <name val="Calibri"/>
        <family val="2"/>
        <scheme val="minor"/>
      </font>
    </dxf>
    <dxf>
      <numFmt numFmtId="0" formatCode="General"/>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7C80"/>
      <color rgb="FFC7A1E3"/>
      <color rgb="FFE2E9F6"/>
      <color rgb="FF8EA9DB"/>
      <color rgb="FFAFF0FF"/>
      <color rgb="FF009FC3"/>
      <color rgb="FF00AAD2"/>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3695700</xdr:colOff>
      <xdr:row>1</xdr:row>
      <xdr:rowOff>22860</xdr:rowOff>
    </xdr:from>
    <xdr:ext cx="3115310" cy="719314"/>
    <xdr:pic>
      <xdr:nvPicPr>
        <xdr:cNvPr id="2" name="Picture 1">
          <a:extLst>
            <a:ext uri="{FF2B5EF4-FFF2-40B4-BE49-F238E27FC236}">
              <a16:creationId xmlns:a16="http://schemas.microsoft.com/office/drawing/2014/main" id="{E79A4988-632A-49BF-B457-5252FC3C894A}"/>
            </a:ext>
          </a:extLst>
        </xdr:cNvPr>
        <xdr:cNvPicPr>
          <a:picLocks noChangeAspect="1"/>
        </xdr:cNvPicPr>
      </xdr:nvPicPr>
      <xdr:blipFill>
        <a:blip xmlns:r="http://schemas.openxmlformats.org/officeDocument/2006/relationships" r:embed="rId1"/>
        <a:stretch>
          <a:fillRect/>
        </a:stretch>
      </xdr:blipFill>
      <xdr:spPr>
        <a:xfrm>
          <a:off x="4320540" y="213360"/>
          <a:ext cx="3115310" cy="71931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3695700</xdr:colOff>
      <xdr:row>1</xdr:row>
      <xdr:rowOff>22860</xdr:rowOff>
    </xdr:from>
    <xdr:ext cx="3115310" cy="719314"/>
    <xdr:pic>
      <xdr:nvPicPr>
        <xdr:cNvPr id="2" name="Picture 1">
          <a:extLst>
            <a:ext uri="{FF2B5EF4-FFF2-40B4-BE49-F238E27FC236}">
              <a16:creationId xmlns:a16="http://schemas.microsoft.com/office/drawing/2014/main" id="{87C9580A-3E54-4A26-BC49-3E17025B18E0}"/>
            </a:ext>
          </a:extLst>
        </xdr:cNvPr>
        <xdr:cNvPicPr>
          <a:picLocks noChangeAspect="1"/>
        </xdr:cNvPicPr>
      </xdr:nvPicPr>
      <xdr:blipFill>
        <a:blip xmlns:r="http://schemas.openxmlformats.org/officeDocument/2006/relationships" r:embed="rId1"/>
        <a:stretch>
          <a:fillRect/>
        </a:stretch>
      </xdr:blipFill>
      <xdr:spPr>
        <a:xfrm>
          <a:off x="3933825" y="222885"/>
          <a:ext cx="3115310" cy="7193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3695700</xdr:colOff>
      <xdr:row>1</xdr:row>
      <xdr:rowOff>22860</xdr:rowOff>
    </xdr:from>
    <xdr:ext cx="3115310" cy="719314"/>
    <xdr:pic>
      <xdr:nvPicPr>
        <xdr:cNvPr id="2" name="Picture 1">
          <a:extLst>
            <a:ext uri="{FF2B5EF4-FFF2-40B4-BE49-F238E27FC236}">
              <a16:creationId xmlns:a16="http://schemas.microsoft.com/office/drawing/2014/main" id="{D50B2AD4-C16D-439C-945A-6CEAA6F28DDC}"/>
            </a:ext>
          </a:extLst>
        </xdr:cNvPr>
        <xdr:cNvPicPr>
          <a:picLocks noChangeAspect="1"/>
        </xdr:cNvPicPr>
      </xdr:nvPicPr>
      <xdr:blipFill>
        <a:blip xmlns:r="http://schemas.openxmlformats.org/officeDocument/2006/relationships" r:embed="rId1"/>
        <a:stretch>
          <a:fillRect/>
        </a:stretch>
      </xdr:blipFill>
      <xdr:spPr>
        <a:xfrm>
          <a:off x="3933825" y="222885"/>
          <a:ext cx="3115310" cy="71931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3C078E-74F9-4143-93A4-B04B5E624DCE}" name="Winterim" displayName="Winterim" ref="A16:E24" totalsRowShown="0" headerRowDxfId="34">
  <autoFilter ref="A16:E24" xr:uid="{B83C078E-74F9-4143-93A4-B04B5E624DCE}"/>
  <tableColumns count="5">
    <tableColumn id="1" xr3:uid="{DCA41389-07AE-45DE-A626-D4A5168F029C}" name="Winterim"/>
    <tableColumn id="2" xr3:uid="{70B9DC60-082A-4B56-948F-E2424B9A31AD}" name="Credits"/>
    <tableColumn id="3" xr3:uid="{BEB9B57E-AF9A-440A-BE86-42D2880E81EF}" name="Course Type"/>
    <tableColumn id="4" xr3:uid="{BBDEC635-7D09-45EE-80D3-54073E541673}" name="HCM Eligible"/>
    <tableColumn id="6" xr3:uid="{E540FDC9-3C5D-4516-BC54-527A5E5A257D}" name="Used in Planning" dataDxfId="33">
      <calculatedColumnFormula>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9FFFB2A-A894-43A9-9D13-D4B04B77E493}" name="Table10" displayName="Table10" ref="A1:B7" totalsRowShown="0">
  <autoFilter ref="A1:B7" xr:uid="{89FFFB2A-A894-43A9-9D13-D4B04B77E493}"/>
  <tableColumns count="2">
    <tableColumn id="1" xr3:uid="{27612938-B722-43EC-BF54-FBF2245FD89B}" name="Message"/>
    <tableColumn id="2" xr3:uid="{3CC86FE7-4061-449A-9005-DAB2C0928152}" name="Condi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7F1880-2C79-4378-ABB4-F201B5B14BA4}" name="Spring1st" displayName="Spring1st" ref="A27:E32" totalsRowShown="0" headerRowDxfId="32">
  <autoFilter ref="A27:E32" xr:uid="{FE7F1880-2C79-4378-ABB4-F201B5B14BA4}"/>
  <tableColumns count="5">
    <tableColumn id="1" xr3:uid="{ED70755E-04AF-4473-8ABC-0395061F1363}" name="Spring 1st 7 wks"/>
    <tableColumn id="2" xr3:uid="{43676AD9-658A-4958-A7A0-3E07B7350962}" name="Credits"/>
    <tableColumn id="3" xr3:uid="{6F322DA3-F240-4340-97F5-38A793C1D32E}" name="Course Type"/>
    <tableColumn id="4" xr3:uid="{DA795F61-1DD2-43E7-997D-7B943C6D1812}" name="HCM Eligible"/>
    <tableColumn id="6" xr3:uid="{CBFE06D8-B2DC-4455-B9BA-9E55BC136576}" name="Used in Planning" dataDxfId="31">
      <calculatedColumnFormula>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6A53DC-A304-41D8-AE0D-5F97448BB5A8}" name="Spring2nd" displayName="Spring2nd" ref="A35:E39" totalsRowShown="0" headerRowDxfId="30">
  <autoFilter ref="A35:E39" xr:uid="{646A53DC-A304-41D8-AE0D-5F97448BB5A8}"/>
  <tableColumns count="5">
    <tableColumn id="1" xr3:uid="{D5F9949C-08B9-4CFD-B3FA-FF06FA8A976D}" name="Spring 2nd 7 wks"/>
    <tableColumn id="2" xr3:uid="{CC582DC7-8DFB-4CB2-8DF9-20F922C3F5E9}" name="Credits"/>
    <tableColumn id="3" xr3:uid="{2BD215EC-9AC5-48A0-9356-963373ED6D2A}" name="Course Type"/>
    <tableColumn id="4" xr3:uid="{D3B0DD64-576B-4E8A-91AA-D08DC6F800A0}" name="HCM Eligible"/>
    <tableColumn id="6" xr3:uid="{A89B6B28-11B3-4290-8A01-8728C552859E}" name="Used in Planning" dataDxfId="29">
      <calculatedColumnFormula>IF(START_TERM="Fall",IF(OR(Spring2nd[[#This Row],[Spring 2nd 7 wks]]='Fall Start Degree Plan'!$B$27,Spring2nd[[#This Row],[Spring 2nd 7 wks]]='Fall Start Degree Plan'!$B$28),'Fall Start Degree Plan'!$B$21,IF(OR(Spring2nd[[#This Row],[Spring 2nd 7 wks]]='Fall Start Degree Plan'!$B$49,Spring2nd[[#This Row],[Spring 2nd 7 wks]]='Fall Start Degree Plan'!$B$50),'Fall Start Degree Plan'!$B$43,IF(OR(Spring2nd[[#This Row],[Spring 2nd 7 wks]]='Fall Start Degree Plan'!$B$71,Spring2nd[[#This Row],[Spring 2nd 7 wks]]='Fall Start Degree Plan'!$B$72),'Fall Start Degree Plan'!$B$65,IF(OR(Spring2nd[[#This Row],[Spring 2nd 7 wks]]='Fall Start Degree Plan'!$B$93,Spring2nd[[#This Row],[Spring 2nd 7 wks]]='Fall Start Degree Plan'!$B$94),'Fall Start Degree Plan'!$B$87,"No")))),IF(START_TERM="Spring",IF(OR(Spring2nd[[#This Row],[Spring 2nd 7 wks]]='Spring Start Degree Plan'!$B$16,Spring2nd[[#This Row],[Spring 2nd 7 wks]]='Spring Start Degree Plan'!$B$17),'Spring Start Degree Plan'!$B$9,IF(OR(Spring2nd[[#This Row],[Spring 2nd 7 wks]]='Spring Start Degree Plan'!$B$38,Spring2nd[[#This Row],[Spring 2nd 7 wks]]='Spring Start Degree Plan'!$B$39),'Spring Start Degree Plan'!$B$32,IF(OR(Spring2nd[[#This Row],[Spring 2nd 7 wks]]='Spring Start Degree Plan'!$B$61,Spring2nd[[#This Row],[Spring 2nd 7 wks]]='Spring Start Degree Plan'!$B$62),'Spring Start Degree Plan'!$B$54,IF(OR(Spring2nd[[#This Row],[Spring 2nd 7 wks]]='Spring Start Degree Plan'!$B$83,Spring2nd[[#This Row],[Spring 2nd 7 wks]]='Spring Start Degree Plan'!$B$84),'Spring Start Degree Plan'!$B$76,"No")))),IF(START_TERM="Summer",IF(OR(Spring2nd[[#This Row],[Spring 2nd 7 wks]]='Summer Start Degree Plan'!$B$38,Spring2nd[[#This Row],[Spring 2nd 7 wks]]='Summer Start Degree Plan'!$B$39),'Summer Start Degree Plan'!$B$32,IF(OR(Spring2nd[[#This Row],[Spring 2nd 7 wks]]='Summer Start Degree Plan'!$B$61,Spring2nd[[#This Row],[Spring 2nd 7 wks]]='Summer Start Degree Plan'!$B$62),'Summer Start Degree Plan'!$B$54,IF(OR(Spring2nd[[#This Row],[Spring 2nd 7 wks]]='Summer Start Degree Plan'!$B$83,Spring2nd[[#This Row],[Spring 2nd 7 wks]]='Summer Start Degree Plan'!$B$84),'Summer Start Degree Plan'!$B$76,"No"))),"N/A")))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F042EC-3CFC-481E-8A6A-AECAAD829B48}" name="Summer1st" displayName="Summer1st" ref="A42:E53" totalsRowShown="0" headerRowDxfId="28">
  <autoFilter ref="A42:E53" xr:uid="{18F042EC-3CFC-481E-8A6A-AECAAD829B48}"/>
  <tableColumns count="5">
    <tableColumn id="1" xr3:uid="{28E6360F-5FB6-4AF8-954D-F3CD563D5250}" name="Summer 1st 7 wks"/>
    <tableColumn id="2" xr3:uid="{2B39C60A-5FDF-4139-A59B-D1F1F6CEA04C}" name="Credits"/>
    <tableColumn id="3" xr3:uid="{6CBD70F2-FFB9-4929-ABA9-4160B6EE6ED4}" name="Course Type"/>
    <tableColumn id="4" xr3:uid="{319CAC43-3F94-4A48-8033-9C19E2E291F0}" name="HCM Eligible"/>
    <tableColumn id="6" xr3:uid="{ED922FDC-DD16-4488-8D36-ACCBB63F0CA2}" name="Used in Planning" dataDxfId="27">
      <calculatedColumnFormula>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41AF68-8B26-4A78-8489-AA1D8DD54EA0}" name="Summer2nd" displayName="Summer2nd" ref="A56:E68" totalsRowShown="0" headerRowDxfId="26">
  <autoFilter ref="A56:E68" xr:uid="{3741AF68-8B26-4A78-8489-AA1D8DD54EA0}"/>
  <tableColumns count="5">
    <tableColumn id="1" xr3:uid="{651B9B10-7365-4E63-AFE8-F02E93527B55}" name="Summer 2nd 7 wks"/>
    <tableColumn id="2" xr3:uid="{5ACC59F9-1339-4784-88D4-579188F27B24}" name="Credits"/>
    <tableColumn id="3" xr3:uid="{FE1BC3EA-6723-40D3-8764-4751FF68D435}" name="Course Type"/>
    <tableColumn id="4" xr3:uid="{1D8AA27C-8DBB-4DEB-874A-6A928937CD5C}" name="HCM Eligible"/>
    <tableColumn id="6" xr3:uid="{6FF4498D-3118-4E64-9318-6379101080FF}" name="Used in Planning" dataDxfId="25">
      <calculatedColumnFormula>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31E3EA-4861-4CAF-BF5B-F5CB8AAE943A}" name="Fall1st" displayName="Fall1st" ref="A1:E5" totalsRowShown="0">
  <autoFilter ref="A1:E5" xr:uid="{BB31E3EA-4861-4CAF-BF5B-F5CB8AAE943A}"/>
  <tableColumns count="5">
    <tableColumn id="1" xr3:uid="{CC66261E-9CC2-4C9E-B2F7-C31E4FB13983}" name="Fall 1st 7 wks"/>
    <tableColumn id="2" xr3:uid="{DFD54002-D352-4E10-8E2D-46CC62CEC764}" name="Credits"/>
    <tableColumn id="3" xr3:uid="{89ABDA04-3A64-4A8F-8A8A-17D3AC87A578}" name="Course Type"/>
    <tableColumn id="4" xr3:uid="{D4661C44-C957-40CD-ABA5-E65DD31DCFE1}" name="HCM Eligible"/>
    <tableColumn id="6" xr3:uid="{B88373C5-A1F2-459D-8B17-F44F51A40D84}" name="Used in Planning" dataDxfId="24">
      <calculatedColumnFormula>IF(START_TERM="Fall",IF(OR(Fall1st[[#This Row],[Fall 1st 7 wks]]='Fall Start Degree Plan'!$B$14,Fall1st[[#This Row],[Fall 1st 7 wks]]='Fall Start Degree Plan'!$B$15),'Fall Start Degree Plan'!$B$9,IF(OR(Fall1st[[#This Row],[Fall 1st 7 wks]]='Fall Start Degree Plan'!$B$36,Fall1st[[#This Row],[Fall 1st 7 wks]]='Fall Start Degree Plan'!$B$37),'Fall Start Degree Plan'!$B$32,IF(OR(Fall1st[[#This Row],[Fall 1st 7 wks]]='Fall Start Degree Plan'!$B$58,Fall1st[[#This Row],[Fall 1st 7 wks]]='Fall Start Degree Plan'!$B$59),'Fall Start Degree Plan'!$B$54,IF(OR(Fall1st[[#This Row],[Fall 1st 7 wks]]='Fall Start Degree Plan'!$B$80,Fall1st[[#This Row],[Fall 1st 7 wks]]='Fall Start Degree Plan'!$B$81),'Fall Start Degree Plan'!$B$76,"No")))),IF(START_TERM="Spring",IF(OR(Fall1st[[#This Row],[Fall 1st 7 wks]]='Spring Start Degree Plan'!$B$25,Fall1st[[#This Row],[Fall 1st 7 wks]]='Spring Start Degree Plan'!$B$26),'Spring Start Degree Plan'!$B$21,IF(OR(Fall1st[[#This Row],[Fall 1st 7 wks]]='Spring Start Degree Plan'!$B$47,Fall1st[[#This Row],[Fall 1st 7 wks]]='Spring Start Degree Plan'!$B$48),'Spring Start Degree Plan'!$B$43,IF(OR(Fall1st[[#This Row],[Fall 1st 7 wks]]='Spring Start Degree Plan'!$B$69,Fall1st[[#This Row],[Fall 1st 7 wks]]='Spring Start Degree Plan'!$B$70),'Spring Start Degree Plan'!$B$65,IF(OR(Fall1st[[#This Row],[Fall 1st 7 wks]]='Spring Start Degree Plan'!$B$91,Fall1st[[#This Row],[Fall 1st 7 wks]]='Spring Start Degree Plan'!$B$92),'Spring Start Degree Plan'!$B$87,"No")))),IF(START_TERM="Summer",IF(OR(Fall1st[[#This Row],[Fall 1st 7 wks]]='Summer Start Degree Plan'!$B$25,Fall1st[[#This Row],[Fall 1st 7 wks]]='Summer Start Degree Plan'!$B$26),'Summer Start Degree Plan'!$B$21,IF(OR(Fall1st[[#This Row],[Fall 1st 7 wks]]='Summer Start Degree Plan'!$B$47,Fall1st[[#This Row],[Fall 1st 7 wks]]='Summer Start Degree Plan'!$B$48),'Summer Start Degree Plan'!$B$43,IF(OR(Fall1st[[#This Row],[Fall 1st 7 wks]]='Summer Start Degree Plan'!$B$69,Fall1st[[#This Row],[Fall 1st 7 wks]]='Summer Start Degree Plan'!$B$70),'Summer Start Degree Plan'!$B$65,IF(OR(Fall1st[[#This Row],[Fall 1st 7 wks]]='Summer Start Degree Plan'!$B$91,Fall1st[[#This Row],[Fall 1st 7 wks]]='Summer Start Degree Plan'!$B$92),'Summer Start Degree Plan'!$B$87,"No")))),"N/A")))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557066-4CA0-46BC-9164-1B2D8598BF46}" name="Fall2nd" displayName="Fall2nd" ref="A8:E13" totalsRowShown="0">
  <autoFilter ref="A8:E13" xr:uid="{4A557066-4CA0-46BC-9164-1B2D8598BF46}"/>
  <tableColumns count="5">
    <tableColumn id="1" xr3:uid="{A40DAAC7-79CD-4756-9E40-C5B7D873434D}" name="Fall 2nd 7 wks"/>
    <tableColumn id="2" xr3:uid="{C2F24573-86ED-4E8F-9949-821CE7D8A2A0}" name="Credits"/>
    <tableColumn id="3" xr3:uid="{E8E2B624-F495-459A-93D1-DDB7A74394C2}" name="Course Type"/>
    <tableColumn id="4" xr3:uid="{07C7623C-0D10-4F01-A374-1AAD27584416}" name="HCM Eligible"/>
    <tableColumn id="6" xr3:uid="{4B087713-07B3-4C03-9F52-33C13F709D60}" name="Used in Planning" dataDxfId="23">
      <calculatedColumnFormula>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18449DB-7CA7-4188-B4D4-B53500D043BC}" name="Core" displayName="Core" ref="A71:E82" totalsRowShown="0">
  <autoFilter ref="A71:E82" xr:uid="{E18449DB-7CA7-4188-B4D4-B53500D043BC}"/>
  <tableColumns count="5">
    <tableColumn id="1" xr3:uid="{5BB3DAC1-1CE8-48B0-908A-934D594D378C}" name="Core Courses"/>
    <tableColumn id="2" xr3:uid="{C179C5C6-7C29-41F3-95AF-01B23C49D957}" name="Credits"/>
    <tableColumn id="3" xr3:uid="{FD2E7A11-33AF-493C-948E-E591DA05B91A}" name="Course Type"/>
    <tableColumn id="4" xr3:uid="{6E81A43D-FBB6-47B2-AC39-8F375B964567}" name="HCM Eligible"/>
    <tableColumn id="6" xr3:uid="{F115C3B3-E9B7-4617-A5C7-8ECC2DE38477}" name="Used in Planning" dataDxfId="22">
      <calculatedColumnFormula>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1919A95-DDA7-4879-B96A-5BEEB94ACBE7}" name="Majors" displayName="Majors" ref="A85:A88" totalsRowShown="0" headerRowDxfId="21">
  <autoFilter ref="A85:A88" xr:uid="{E1919A95-DDA7-4879-B96A-5BEEB94ACBE7}"/>
  <tableColumns count="1">
    <tableColumn id="1" xr3:uid="{BD309F1F-E5B3-4D5C-B6C8-335BE6BC968E}" name="Majo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wcmba.org/elective" TargetMode="External"/><Relationship Id="rId2" Type="http://schemas.openxmlformats.org/officeDocument/2006/relationships/hyperlink" Target="https://uwcmba.org/be" TargetMode="External"/><Relationship Id="rId1" Type="http://schemas.openxmlformats.org/officeDocument/2006/relationships/hyperlink" Target="https://uwcmba.org/core" TargetMode="External"/><Relationship Id="rId5" Type="http://schemas.openxmlformats.org/officeDocument/2006/relationships/printerSettings" Target="../printerSettings/printerSettings1.bin"/><Relationship Id="rId4" Type="http://schemas.openxmlformats.org/officeDocument/2006/relationships/hyperlink" Target="https://uwcmba.org/plan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AA85-0ED0-4059-B77C-944ED9EA8721}">
  <sheetPr>
    <tabColor rgb="FFFF7C80"/>
  </sheetPr>
  <dimension ref="B1:C20"/>
  <sheetViews>
    <sheetView tabSelected="1" zoomScale="115" zoomScaleNormal="115" workbookViewId="0">
      <selection activeCell="C10" sqref="C10"/>
    </sheetView>
  </sheetViews>
  <sheetFormatPr defaultColWidth="8.85546875" defaultRowHeight="15.75" x14ac:dyDescent="0.25"/>
  <cols>
    <col min="1" max="1" width="8.85546875" style="15"/>
    <col min="2" max="2" width="16.5703125" style="15" bestFit="1" customWidth="1"/>
    <col min="3" max="3" width="65.5703125" style="16" customWidth="1"/>
    <col min="4" max="16384" width="8.85546875" style="15"/>
  </cols>
  <sheetData>
    <row r="1" spans="2:3" ht="12" customHeight="1" thickBot="1" x14ac:dyDescent="0.3"/>
    <row r="2" spans="2:3" ht="21" x14ac:dyDescent="0.25">
      <c r="B2" s="61" t="s">
        <v>0</v>
      </c>
      <c r="C2" s="62"/>
    </row>
    <row r="3" spans="2:3" ht="20.100000000000001" customHeight="1" x14ac:dyDescent="0.25">
      <c r="B3" s="32" t="s">
        <v>1</v>
      </c>
      <c r="C3" s="33" t="s">
        <v>2</v>
      </c>
    </row>
    <row r="4" spans="2:3" ht="20.100000000000001" customHeight="1" x14ac:dyDescent="0.25">
      <c r="B4" s="32" t="s">
        <v>3</v>
      </c>
      <c r="C4" s="33" t="s">
        <v>4</v>
      </c>
    </row>
    <row r="5" spans="2:3" ht="20.100000000000001" customHeight="1" x14ac:dyDescent="0.25">
      <c r="B5" s="36" t="s">
        <v>5</v>
      </c>
      <c r="C5" s="37" t="s">
        <v>6</v>
      </c>
    </row>
    <row r="6" spans="2:3" ht="20.100000000000001" customHeight="1" thickBot="1" x14ac:dyDescent="0.3">
      <c r="B6" s="34" t="s">
        <v>7</v>
      </c>
      <c r="C6" s="35">
        <v>2024</v>
      </c>
    </row>
    <row r="8" spans="2:3" ht="13.9" customHeight="1" thickBot="1" x14ac:dyDescent="0.3"/>
    <row r="9" spans="2:3" ht="21.75" thickBot="1" x14ac:dyDescent="0.3">
      <c r="B9" s="59" t="s">
        <v>8</v>
      </c>
      <c r="C9" s="60"/>
    </row>
    <row r="10" spans="2:3" ht="52.5" customHeight="1" thickBot="1" x14ac:dyDescent="0.3">
      <c r="B10" s="20" t="s">
        <v>9</v>
      </c>
      <c r="C10" s="17" t="s">
        <v>10</v>
      </c>
    </row>
    <row r="11" spans="2:3" ht="63" x14ac:dyDescent="0.25">
      <c r="B11" s="21" t="s">
        <v>11</v>
      </c>
      <c r="C11" s="18" t="s">
        <v>12</v>
      </c>
    </row>
    <row r="12" spans="2:3" ht="39.75" customHeight="1" thickBot="1" x14ac:dyDescent="0.3">
      <c r="B12" s="22"/>
      <c r="C12" s="26" t="s">
        <v>13</v>
      </c>
    </row>
    <row r="13" spans="2:3" x14ac:dyDescent="0.25">
      <c r="B13" s="23" t="s">
        <v>14</v>
      </c>
      <c r="C13" s="19" t="s">
        <v>15</v>
      </c>
    </row>
    <row r="14" spans="2:3" x14ac:dyDescent="0.25">
      <c r="B14" s="24"/>
      <c r="C14" s="56" t="s">
        <v>16</v>
      </c>
    </row>
    <row r="15" spans="2:3" x14ac:dyDescent="0.25">
      <c r="B15" s="24"/>
      <c r="C15" s="27" t="s">
        <v>17</v>
      </c>
    </row>
    <row r="16" spans="2:3" x14ac:dyDescent="0.25">
      <c r="B16" s="24"/>
      <c r="C16" s="48" t="s">
        <v>18</v>
      </c>
    </row>
    <row r="17" spans="2:3" x14ac:dyDescent="0.25">
      <c r="B17" s="24"/>
      <c r="C17" s="48" t="s">
        <v>19</v>
      </c>
    </row>
    <row r="18" spans="2:3" x14ac:dyDescent="0.25">
      <c r="B18" s="24"/>
      <c r="C18" s="48" t="s">
        <v>20</v>
      </c>
    </row>
    <row r="19" spans="2:3" ht="36.75" customHeight="1" thickBot="1" x14ac:dyDescent="0.3">
      <c r="B19" s="25"/>
      <c r="C19" s="28" t="s">
        <v>21</v>
      </c>
    </row>
    <row r="20" spans="2:3" ht="36" customHeight="1" thickBot="1" x14ac:dyDescent="0.3">
      <c r="B20" s="57" t="s">
        <v>22</v>
      </c>
      <c r="C20" s="58" t="s">
        <v>23</v>
      </c>
    </row>
  </sheetData>
  <mergeCells count="2">
    <mergeCell ref="B9:C9"/>
    <mergeCell ref="B2:C2"/>
  </mergeCells>
  <dataValidations count="2">
    <dataValidation type="list" allowBlank="1" showInputMessage="1" showErrorMessage="1" sqref="C6" xr:uid="{153785E4-31AD-4E84-B678-4E8D02301F62}">
      <formula1>"Select your start year,2024,2025,2026,2027,2028,2029,2030,2031,2032,2033"</formula1>
    </dataValidation>
    <dataValidation type="list" allowBlank="1" showInputMessage="1" showErrorMessage="1" sqref="C5" xr:uid="{96B76078-B04F-4093-9754-6A42166E26AD}">
      <formula1>"Fall,Spring,Summer"</formula1>
    </dataValidation>
  </dataValidations>
  <hyperlinks>
    <hyperlink ref="C16" r:id="rId1" tooltip="https://www.wisconsinonlinemba.org/course_catalog.phtml" xr:uid="{1E1606F6-1745-4F2D-9E6F-4554F417ED80}"/>
    <hyperlink ref="C17" r:id="rId2" tooltip="https://www.wisconsinonlinemba.org/course_catalog.phtml/business_essentials_courses/" xr:uid="{645A3109-8378-413A-8253-B5EAF9E7F3B7}"/>
    <hyperlink ref="C18" r:id="rId3" tooltip="https://www.wisconsinonlinemba.org/course_catalog.phtml/elective_courses/" xr:uid="{45989478-C235-48D0-BC39-C24E8540EEE5}"/>
    <hyperlink ref="C14" r:id="rId4" xr:uid="{87BCB72A-DA81-407E-8535-BBCE0FCA3B52}"/>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54D1C452-E5EA-4A9E-AFBB-19FBC14F7A3D}">
          <x14:formula1>
            <xm:f>Courses!$A$86:$A$88</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0C60-947F-4247-ACD2-68B8242D6075}">
  <sheetPr codeName="Sheet1">
    <tabColor theme="4" tint="0.59999389629810485"/>
    <pageSetUpPr fitToPage="1"/>
  </sheetPr>
  <dimension ref="B1:I95"/>
  <sheetViews>
    <sheetView zoomScaleNormal="100" workbookViewId="0">
      <selection activeCell="F62" sqref="F62"/>
    </sheetView>
  </sheetViews>
  <sheetFormatPr defaultRowHeight="15" x14ac:dyDescent="0.25"/>
  <cols>
    <col min="1" max="1" width="3.5703125" customWidth="1"/>
    <col min="2" max="2" width="71.42578125" style="2" customWidth="1"/>
    <col min="3" max="3" width="7.85546875" style="40" customWidth="1"/>
    <col min="4" max="4" width="4.28515625" customWidth="1"/>
    <col min="5" max="5" width="71.42578125" customWidth="1"/>
    <col min="6" max="6" width="7.85546875" style="40" customWidth="1"/>
    <col min="7" max="7" width="3.5703125" customWidth="1"/>
    <col min="8" max="8" width="42.42578125" bestFit="1" customWidth="1"/>
    <col min="9" max="9" width="10.7109375" customWidth="1"/>
    <col min="10" max="10" width="10.28515625" customWidth="1"/>
  </cols>
  <sheetData>
    <row r="1" spans="2:9" ht="15.75" thickBot="1" x14ac:dyDescent="0.3"/>
    <row r="2" spans="2:9" ht="110.45" customHeight="1" thickBot="1" x14ac:dyDescent="0.5">
      <c r="B2" s="63" t="str">
        <f>_xlfn.CONCAT(YOUR_NAME,"'s Degree Plan",CHAR(10),DEGREE_TYPE," (36 Credits)")</f>
        <v>YOUR NAME HERE's Degree Plan
Select your emphasis (36 Credits)</v>
      </c>
      <c r="C2" s="64"/>
      <c r="D2" s="64"/>
      <c r="E2" s="64"/>
      <c r="F2" s="65"/>
    </row>
    <row r="3" spans="2:9" ht="43.5" customHeight="1" thickBot="1" x14ac:dyDescent="0.5">
      <c r="B3" s="5"/>
      <c r="C3" s="4"/>
      <c r="D3" s="4"/>
      <c r="E3" s="70" t="str">
        <f>IF(AND(DEGREE_TYPE="MBA in Healthcare Management",OR(ISNUMBER(SEARCH("Fall",Courses!E11)),ISNUMBER(SEARCH("Winterim",Courses!E18)),ISNUMBER(SEARCH("Winterim",Courses!E23)),ISNUMBER(SEARCH("Summer",Courses!E58)),ISNUMBER(SEARCH("Summer",Courses!E62)))),HCM_Elective_Warning,"")</f>
        <v/>
      </c>
      <c r="F3" s="70"/>
    </row>
    <row r="4" spans="2:9" ht="18.75" x14ac:dyDescent="0.4">
      <c r="B4" s="12" t="s">
        <v>24</v>
      </c>
      <c r="C4" s="47" t="s">
        <v>25</v>
      </c>
      <c r="E4" s="71"/>
      <c r="F4" s="71"/>
    </row>
    <row r="5" spans="2:9" ht="15.75" x14ac:dyDescent="0.25">
      <c r="B5" s="29" t="s">
        <v>26</v>
      </c>
      <c r="C5" s="41">
        <f>SUM(C11:C13,C23:C24,C34:C35,C45:C46,C56:C57,C67:C68,C78:C79,C89:C90)</f>
        <v>26</v>
      </c>
      <c r="D5" s="50" t="str">
        <f>IF(C5&gt;26,"NOTE: You've selected more core credits than you're required to take.","Please select 26 credits to meet this requirement.")</f>
        <v>Please select 26 credits to meet this requirement.</v>
      </c>
      <c r="E5" s="49"/>
      <c r="F5" s="4"/>
    </row>
    <row r="6" spans="2:9" ht="15.75" x14ac:dyDescent="0.25">
      <c r="B6" s="30" t="s">
        <v>27</v>
      </c>
      <c r="C6" s="42">
        <f>SUM(C14:C17,F18,C25:C28,F29,C36:C39,F40,C47:C50,F51,C58:C61,F62,C69:C72,F73,C80:C83,F84,C91:C94,F95)</f>
        <v>0</v>
      </c>
      <c r="D6" s="50" t="str">
        <f>IF(C6&gt;10,"NOTE: You've selected more elective credits than you're required to take.","Please select at least 10 credits to meet this requirement.")</f>
        <v>Please select at least 10 credits to meet this requirement.</v>
      </c>
      <c r="E6" s="4"/>
      <c r="F6" s="4"/>
    </row>
    <row r="7" spans="2:9" ht="16.5" thickBot="1" x14ac:dyDescent="0.3">
      <c r="B7" s="31" t="s">
        <v>28</v>
      </c>
      <c r="C7" s="43">
        <f>SUM(C5:C6)</f>
        <v>26</v>
      </c>
      <c r="D7" s="50" t="str">
        <f>IF(C7&gt;36,"NOTE: You've selected more total credits than you're required to take.","Please select at least 36 credits to meet this requirement.")</f>
        <v>Please select at least 36 credits to meet this requirement.</v>
      </c>
      <c r="E7" s="4"/>
      <c r="F7" s="4"/>
    </row>
    <row r="8" spans="2:9" ht="23.25" thickBot="1" x14ac:dyDescent="0.5">
      <c r="B8" s="5"/>
      <c r="C8" s="4"/>
      <c r="D8" s="4"/>
      <c r="E8" s="4"/>
      <c r="F8" s="4"/>
    </row>
    <row r="9" spans="2:9" ht="19.5" x14ac:dyDescent="0.4">
      <c r="B9" s="66" t="str">
        <f>CONCATENATE("Fall ",START_YEAR)</f>
        <v>Fall 2024</v>
      </c>
      <c r="C9" s="67"/>
      <c r="E9" s="66" t="str">
        <f>CONCATENATE("Winterim ",START_YEAR+1)</f>
        <v>Winterim 2025</v>
      </c>
      <c r="F9" s="67"/>
      <c r="H9" s="38"/>
      <c r="I9" s="3"/>
    </row>
    <row r="10" spans="2:9" ht="15.75" x14ac:dyDescent="0.25">
      <c r="B10" s="6" t="s">
        <v>29</v>
      </c>
      <c r="C10" s="39" t="s">
        <v>25</v>
      </c>
      <c r="E10" s="6" t="s">
        <v>29</v>
      </c>
      <c r="F10" s="39" t="s">
        <v>25</v>
      </c>
      <c r="H10" s="2"/>
      <c r="I10" s="3"/>
    </row>
    <row r="11" spans="2:9" ht="18" customHeight="1" x14ac:dyDescent="0.25">
      <c r="B11" s="11" t="s">
        <v>30</v>
      </c>
      <c r="C11" s="44">
        <f>VLOOKUP(B11,Core[#All],2,FALSE)</f>
        <v>1</v>
      </c>
      <c r="E11" s="10" t="s">
        <v>31</v>
      </c>
      <c r="F11" s="42">
        <f>VLOOKUP(E11,Winterim[#All],2,FALSE)</f>
        <v>0</v>
      </c>
      <c r="H11" s="2"/>
      <c r="I11" s="3"/>
    </row>
    <row r="12" spans="2:9" x14ac:dyDescent="0.25">
      <c r="B12" s="11" t="s">
        <v>32</v>
      </c>
      <c r="C12" s="44">
        <f>VLOOKUP(B12,Core[#All],2,FALSE)</f>
        <v>2</v>
      </c>
      <c r="E12" s="10" t="s">
        <v>31</v>
      </c>
      <c r="F12" s="42">
        <f>VLOOKUP(E12,Winterim[#All],2,FALSE)</f>
        <v>0</v>
      </c>
      <c r="H12" s="13"/>
      <c r="I12" s="14"/>
    </row>
    <row r="13" spans="2:9" x14ac:dyDescent="0.25">
      <c r="B13" s="11" t="s">
        <v>33</v>
      </c>
      <c r="C13" s="44">
        <f>VLOOKUP(B13,Core[#All],2,FALSE)</f>
        <v>2</v>
      </c>
      <c r="E13" s="9"/>
      <c r="F13" s="46"/>
    </row>
    <row r="14" spans="2:9" x14ac:dyDescent="0.25">
      <c r="B14" s="7" t="s">
        <v>34</v>
      </c>
      <c r="C14" s="42">
        <f>VLOOKUP(B14,Fall1st[#All],2,FALSE)</f>
        <v>0</v>
      </c>
      <c r="E14" s="9"/>
      <c r="F14" s="46"/>
    </row>
    <row r="15" spans="2:9" x14ac:dyDescent="0.25">
      <c r="B15" s="7" t="s">
        <v>34</v>
      </c>
      <c r="C15" s="42">
        <f>VLOOKUP(B15,Fall1st[#All],2,FALSE)</f>
        <v>0</v>
      </c>
      <c r="E15" s="9"/>
      <c r="F15" s="46"/>
    </row>
    <row r="16" spans="2:9" x14ac:dyDescent="0.25">
      <c r="B16" s="7" t="s">
        <v>35</v>
      </c>
      <c r="C16" s="42">
        <f>VLOOKUP(B16,Fall2nd[#All],2,FALSE)</f>
        <v>0</v>
      </c>
      <c r="E16" s="9"/>
      <c r="F16" s="46"/>
    </row>
    <row r="17" spans="2:8" x14ac:dyDescent="0.25">
      <c r="B17" s="7" t="s">
        <v>35</v>
      </c>
      <c r="C17" s="42">
        <f>VLOOKUP(B17,Fall2nd[#All],2,FALSE)</f>
        <v>0</v>
      </c>
      <c r="E17" s="9"/>
      <c r="F17" s="46"/>
    </row>
    <row r="18" spans="2:8" ht="15.75" thickBot="1" x14ac:dyDescent="0.3">
      <c r="B18" s="8" t="s">
        <v>36</v>
      </c>
      <c r="C18" s="45">
        <f>SUM(C11:C17)</f>
        <v>5</v>
      </c>
      <c r="E18" s="8" t="s">
        <v>36</v>
      </c>
      <c r="F18" s="45">
        <f>SUM(F11:F17)</f>
        <v>0</v>
      </c>
    </row>
    <row r="20" spans="2:8" ht="15.75" thickBot="1" x14ac:dyDescent="0.3">
      <c r="H20" s="1"/>
    </row>
    <row r="21" spans="2:8" ht="19.5" x14ac:dyDescent="0.4">
      <c r="B21" s="68" t="str">
        <f>CONCATENATE("Spring ",START_YEAR+1)</f>
        <v>Spring 2025</v>
      </c>
      <c r="C21" s="69"/>
      <c r="E21" s="68" t="str">
        <f>CONCATENATE("Summer ",START_YEAR+1)</f>
        <v>Summer 2025</v>
      </c>
      <c r="F21" s="69"/>
    </row>
    <row r="22" spans="2:8" ht="15.75" x14ac:dyDescent="0.25">
      <c r="B22" s="6" t="s">
        <v>29</v>
      </c>
      <c r="C22" s="39" t="s">
        <v>25</v>
      </c>
      <c r="E22" s="6" t="s">
        <v>29</v>
      </c>
      <c r="F22" s="39" t="s">
        <v>25</v>
      </c>
    </row>
    <row r="23" spans="2:8" ht="30" x14ac:dyDescent="0.25">
      <c r="B23" s="11" t="s">
        <v>37</v>
      </c>
      <c r="C23" s="44">
        <f>VLOOKUP(B23,Core[#All],2,FALSE)</f>
        <v>4</v>
      </c>
      <c r="E23" s="7" t="s">
        <v>34</v>
      </c>
      <c r="F23" s="42">
        <f>VLOOKUP(E23,Summer1st[#All],2,FALSE)</f>
        <v>0</v>
      </c>
    </row>
    <row r="24" spans="2:8" x14ac:dyDescent="0.25">
      <c r="B24" s="11" t="s">
        <v>31</v>
      </c>
      <c r="C24" s="44">
        <f>VLOOKUP(B24,Core[#All],2,FALSE)</f>
        <v>0</v>
      </c>
      <c r="E24" s="7" t="s">
        <v>34</v>
      </c>
      <c r="F24" s="42">
        <f>VLOOKUP(E24,Summer1st[#All],2,FALSE)</f>
        <v>0</v>
      </c>
    </row>
    <row r="25" spans="2:8" x14ac:dyDescent="0.25">
      <c r="B25" s="7" t="s">
        <v>34</v>
      </c>
      <c r="C25" s="42">
        <f>VLOOKUP(B25,Spring1st[#All],2,FALSE)</f>
        <v>0</v>
      </c>
      <c r="E25" s="7" t="s">
        <v>35</v>
      </c>
      <c r="F25" s="42">
        <f>VLOOKUP(E25,Summer2nd[#All],2,FALSE)</f>
        <v>0</v>
      </c>
    </row>
    <row r="26" spans="2:8" x14ac:dyDescent="0.25">
      <c r="B26" s="7" t="s">
        <v>34</v>
      </c>
      <c r="C26" s="42">
        <f>VLOOKUP(B26,Spring1st[#All],2,FALSE)</f>
        <v>0</v>
      </c>
      <c r="E26" s="7" t="s">
        <v>35</v>
      </c>
      <c r="F26" s="42">
        <f>VLOOKUP(E26,Summer2nd[#All],2,FALSE)</f>
        <v>0</v>
      </c>
    </row>
    <row r="27" spans="2:8" x14ac:dyDescent="0.25">
      <c r="B27" s="7" t="s">
        <v>35</v>
      </c>
      <c r="C27" s="42">
        <f>VLOOKUP(B27,Spring2nd[#All],2,FALSE)</f>
        <v>0</v>
      </c>
      <c r="E27" s="9"/>
      <c r="F27" s="46"/>
    </row>
    <row r="28" spans="2:8" x14ac:dyDescent="0.25">
      <c r="B28" s="7" t="s">
        <v>35</v>
      </c>
      <c r="C28" s="42">
        <f>VLOOKUP(B28,Spring2nd[#All],2,FALSE)</f>
        <v>0</v>
      </c>
      <c r="E28" s="9"/>
      <c r="F28" s="46"/>
    </row>
    <row r="29" spans="2:8" ht="15.75" thickBot="1" x14ac:dyDescent="0.3">
      <c r="B29" s="8" t="s">
        <v>36</v>
      </c>
      <c r="C29" s="45">
        <f>SUM(C23:C28)</f>
        <v>4</v>
      </c>
      <c r="E29" s="8" t="s">
        <v>36</v>
      </c>
      <c r="F29" s="45">
        <f>SUM(F23:F28)</f>
        <v>0</v>
      </c>
    </row>
    <row r="31" spans="2:8" ht="15.75" thickBot="1" x14ac:dyDescent="0.3"/>
    <row r="32" spans="2:8" ht="19.5" x14ac:dyDescent="0.4">
      <c r="B32" s="68" t="str">
        <f>CONCATENATE("Fall ",START_YEAR+1)</f>
        <v>Fall 2025</v>
      </c>
      <c r="C32" s="69"/>
      <c r="E32" s="68" t="str">
        <f>CONCATENATE("Winterim ",START_YEAR+2)</f>
        <v>Winterim 2026</v>
      </c>
      <c r="F32" s="69"/>
    </row>
    <row r="33" spans="2:6" ht="15.75" x14ac:dyDescent="0.25">
      <c r="B33" s="6" t="s">
        <v>29</v>
      </c>
      <c r="C33" s="39" t="s">
        <v>25</v>
      </c>
      <c r="E33" s="6" t="s">
        <v>29</v>
      </c>
      <c r="F33" s="39" t="s">
        <v>25</v>
      </c>
    </row>
    <row r="34" spans="2:6" x14ac:dyDescent="0.25">
      <c r="B34" s="11" t="s">
        <v>38</v>
      </c>
      <c r="C34" s="44">
        <f>VLOOKUP(B34,Core[#All],2,FALSE)</f>
        <v>4</v>
      </c>
      <c r="E34" s="10" t="s">
        <v>31</v>
      </c>
      <c r="F34" s="42">
        <f>VLOOKUP(E34,Winterim[#All],2,FALSE)</f>
        <v>0</v>
      </c>
    </row>
    <row r="35" spans="2:6" x14ac:dyDescent="0.25">
      <c r="B35" s="11" t="s">
        <v>31</v>
      </c>
      <c r="C35" s="44">
        <f>VLOOKUP(B35,Core[#All],2,FALSE)</f>
        <v>0</v>
      </c>
      <c r="E35" s="10" t="s">
        <v>31</v>
      </c>
      <c r="F35" s="42">
        <f>VLOOKUP(E35,Winterim[#All],2,FALSE)</f>
        <v>0</v>
      </c>
    </row>
    <row r="36" spans="2:6" x14ac:dyDescent="0.25">
      <c r="B36" s="7" t="s">
        <v>34</v>
      </c>
      <c r="C36" s="42">
        <f>VLOOKUP(B36,Fall1st[#All],2,FALSE)</f>
        <v>0</v>
      </c>
      <c r="E36" s="9"/>
      <c r="F36" s="46"/>
    </row>
    <row r="37" spans="2:6" x14ac:dyDescent="0.25">
      <c r="B37" s="7" t="s">
        <v>34</v>
      </c>
      <c r="C37" s="42">
        <f>VLOOKUP(B37,Fall1st[#All],2,FALSE)</f>
        <v>0</v>
      </c>
      <c r="E37" s="9"/>
      <c r="F37" s="46"/>
    </row>
    <row r="38" spans="2:6" x14ac:dyDescent="0.25">
      <c r="B38" s="7" t="s">
        <v>35</v>
      </c>
      <c r="C38" s="42">
        <f>VLOOKUP(B38,Fall2nd[#All],2,FALSE)</f>
        <v>0</v>
      </c>
      <c r="E38" s="9"/>
      <c r="F38" s="46"/>
    </row>
    <row r="39" spans="2:6" x14ac:dyDescent="0.25">
      <c r="B39" s="7" t="s">
        <v>35</v>
      </c>
      <c r="C39" s="42">
        <f>VLOOKUP(B39,Fall2nd[#All],2,FALSE)</f>
        <v>0</v>
      </c>
      <c r="E39" s="9"/>
      <c r="F39" s="46"/>
    </row>
    <row r="40" spans="2:6" ht="15.75" thickBot="1" x14ac:dyDescent="0.3">
      <c r="B40" s="8" t="s">
        <v>36</v>
      </c>
      <c r="C40" s="45">
        <f>SUM(C34:C39)</f>
        <v>4</v>
      </c>
      <c r="E40" s="8" t="s">
        <v>36</v>
      </c>
      <c r="F40" s="45">
        <f>SUM(F34:F39)</f>
        <v>0</v>
      </c>
    </row>
    <row r="42" spans="2:6" ht="15.75" thickBot="1" x14ac:dyDescent="0.3"/>
    <row r="43" spans="2:6" ht="19.5" x14ac:dyDescent="0.4">
      <c r="B43" s="68" t="str">
        <f>CONCATENATE("Spring ",START_YEAR+2)</f>
        <v>Spring 2026</v>
      </c>
      <c r="C43" s="69"/>
      <c r="E43" s="68" t="str">
        <f>CONCATENATE("Summer ",START_YEAR+2)</f>
        <v>Summer 2026</v>
      </c>
      <c r="F43" s="69"/>
    </row>
    <row r="44" spans="2:6" ht="15.75" x14ac:dyDescent="0.25">
      <c r="B44" s="6" t="s">
        <v>29</v>
      </c>
      <c r="C44" s="39" t="s">
        <v>25</v>
      </c>
      <c r="E44" s="6" t="s">
        <v>29</v>
      </c>
      <c r="F44" s="39" t="s">
        <v>25</v>
      </c>
    </row>
    <row r="45" spans="2:6" x14ac:dyDescent="0.25">
      <c r="B45" s="11" t="s">
        <v>39</v>
      </c>
      <c r="C45" s="44">
        <f>VLOOKUP(B45,Core[#All],2,FALSE)</f>
        <v>4</v>
      </c>
      <c r="E45" s="7" t="s">
        <v>34</v>
      </c>
      <c r="F45" s="42">
        <f>VLOOKUP(E45,Summer1st[#All],2,FALSE)</f>
        <v>0</v>
      </c>
    </row>
    <row r="46" spans="2:6" x14ac:dyDescent="0.25">
      <c r="B46" s="11" t="s">
        <v>31</v>
      </c>
      <c r="C46" s="44">
        <f>VLOOKUP(B46,Core[#All],2,FALSE)</f>
        <v>0</v>
      </c>
      <c r="E46" s="7" t="s">
        <v>34</v>
      </c>
      <c r="F46" s="42">
        <f>VLOOKUP(E46,Summer1st[#All],2,FALSE)</f>
        <v>0</v>
      </c>
    </row>
    <row r="47" spans="2:6" x14ac:dyDescent="0.25">
      <c r="B47" s="7" t="s">
        <v>34</v>
      </c>
      <c r="C47" s="42">
        <f>VLOOKUP(B47,Spring1st[#All],2,FALSE)</f>
        <v>0</v>
      </c>
      <c r="E47" s="7" t="s">
        <v>35</v>
      </c>
      <c r="F47" s="42">
        <f>VLOOKUP(E47,Summer2nd[#All],2,FALSE)</f>
        <v>0</v>
      </c>
    </row>
    <row r="48" spans="2:6" x14ac:dyDescent="0.25">
      <c r="B48" s="7" t="s">
        <v>34</v>
      </c>
      <c r="C48" s="42">
        <f>VLOOKUP(B48,Spring1st[#All],2,FALSE)</f>
        <v>0</v>
      </c>
      <c r="E48" s="7" t="s">
        <v>35</v>
      </c>
      <c r="F48" s="42">
        <f>VLOOKUP(E48,Summer2nd[#All],2,FALSE)</f>
        <v>0</v>
      </c>
    </row>
    <row r="49" spans="2:6" x14ac:dyDescent="0.25">
      <c r="B49" s="7" t="s">
        <v>35</v>
      </c>
      <c r="C49" s="42">
        <f>VLOOKUP(B49,Spring2nd[#All],2,FALSE)</f>
        <v>0</v>
      </c>
      <c r="E49" s="9"/>
      <c r="F49" s="46"/>
    </row>
    <row r="50" spans="2:6" x14ac:dyDescent="0.25">
      <c r="B50" s="7" t="s">
        <v>35</v>
      </c>
      <c r="C50" s="42">
        <f>VLOOKUP(B50,Spring2nd[#All],2,FALSE)</f>
        <v>0</v>
      </c>
      <c r="E50" s="9"/>
      <c r="F50" s="46"/>
    </row>
    <row r="51" spans="2:6" ht="15.75" thickBot="1" x14ac:dyDescent="0.3">
      <c r="B51" s="8" t="s">
        <v>36</v>
      </c>
      <c r="C51" s="45">
        <f>SUM(C45:C50)</f>
        <v>4</v>
      </c>
      <c r="E51" s="8" t="s">
        <v>36</v>
      </c>
      <c r="F51" s="45">
        <f>SUM(F45:F50)</f>
        <v>0</v>
      </c>
    </row>
    <row r="53" spans="2:6" ht="15.75" thickBot="1" x14ac:dyDescent="0.3"/>
    <row r="54" spans="2:6" ht="19.5" x14ac:dyDescent="0.4">
      <c r="B54" s="68" t="str">
        <f>CONCATENATE("Fall ",START_YEAR+2)</f>
        <v>Fall 2026</v>
      </c>
      <c r="C54" s="69"/>
      <c r="E54" s="68" t="str">
        <f>CONCATENATE("Winterim ",START_YEAR+3)</f>
        <v>Winterim 2027</v>
      </c>
      <c r="F54" s="69"/>
    </row>
    <row r="55" spans="2:6" ht="15.75" x14ac:dyDescent="0.25">
      <c r="B55" s="6" t="s">
        <v>29</v>
      </c>
      <c r="C55" s="39" t="s">
        <v>25</v>
      </c>
      <c r="E55" s="6" t="s">
        <v>29</v>
      </c>
      <c r="F55" s="39" t="s">
        <v>25</v>
      </c>
    </row>
    <row r="56" spans="2:6" x14ac:dyDescent="0.25">
      <c r="B56" s="11" t="s">
        <v>40</v>
      </c>
      <c r="C56" s="44">
        <f>VLOOKUP(B56,Core[#All],2,FALSE)</f>
        <v>4</v>
      </c>
      <c r="E56" s="10" t="s">
        <v>31</v>
      </c>
      <c r="F56" s="42">
        <f>VLOOKUP(E56,Winterim[#All],2,FALSE)</f>
        <v>0</v>
      </c>
    </row>
    <row r="57" spans="2:6" x14ac:dyDescent="0.25">
      <c r="B57" s="11" t="s">
        <v>31</v>
      </c>
      <c r="C57" s="44">
        <f>VLOOKUP(B57,Core[#All],2,FALSE)</f>
        <v>0</v>
      </c>
      <c r="E57" s="10" t="s">
        <v>31</v>
      </c>
      <c r="F57" s="42">
        <f>VLOOKUP(E57,Winterim[#All],2,FALSE)</f>
        <v>0</v>
      </c>
    </row>
    <row r="58" spans="2:6" x14ac:dyDescent="0.25">
      <c r="B58" s="7" t="s">
        <v>34</v>
      </c>
      <c r="C58" s="42">
        <f>VLOOKUP(B58,Fall1st[#All],2,FALSE)</f>
        <v>0</v>
      </c>
      <c r="E58" s="9"/>
      <c r="F58" s="46"/>
    </row>
    <row r="59" spans="2:6" x14ac:dyDescent="0.25">
      <c r="B59" s="7" t="s">
        <v>34</v>
      </c>
      <c r="C59" s="42">
        <f>VLOOKUP(B59,Fall1st[#All],2,FALSE)</f>
        <v>0</v>
      </c>
      <c r="E59" s="9"/>
      <c r="F59" s="46"/>
    </row>
    <row r="60" spans="2:6" x14ac:dyDescent="0.25">
      <c r="B60" s="7" t="s">
        <v>35</v>
      </c>
      <c r="C60" s="42">
        <f>VLOOKUP(B60,Fall2nd[#All],2,FALSE)</f>
        <v>0</v>
      </c>
      <c r="E60" s="9"/>
      <c r="F60" s="46"/>
    </row>
    <row r="61" spans="2:6" x14ac:dyDescent="0.25">
      <c r="B61" s="7" t="s">
        <v>35</v>
      </c>
      <c r="C61" s="42">
        <f>VLOOKUP(B61,Fall2nd[#All],2,FALSE)</f>
        <v>0</v>
      </c>
      <c r="E61" s="9"/>
      <c r="F61" s="46"/>
    </row>
    <row r="62" spans="2:6" ht="15.75" thickBot="1" x14ac:dyDescent="0.3">
      <c r="B62" s="8" t="s">
        <v>36</v>
      </c>
      <c r="C62" s="45">
        <f>SUM(C56:C61)</f>
        <v>4</v>
      </c>
      <c r="E62" s="8" t="s">
        <v>36</v>
      </c>
      <c r="F62" s="45">
        <f>SUM(F56:F61)</f>
        <v>0</v>
      </c>
    </row>
    <row r="64" spans="2:6" ht="15.75" thickBot="1" x14ac:dyDescent="0.3"/>
    <row r="65" spans="2:6" ht="19.5" x14ac:dyDescent="0.4">
      <c r="B65" s="68" t="str">
        <f>CONCATENATE("Spring ",START_YEAR+3)</f>
        <v>Spring 2027</v>
      </c>
      <c r="C65" s="69"/>
      <c r="E65" s="68" t="str">
        <f>CONCATENATE("Summer ",START_YEAR+3)</f>
        <v>Summer 2027</v>
      </c>
      <c r="F65" s="69"/>
    </row>
    <row r="66" spans="2:6" ht="15.75" x14ac:dyDescent="0.25">
      <c r="B66" s="6" t="s">
        <v>29</v>
      </c>
      <c r="C66" s="39" t="s">
        <v>25</v>
      </c>
      <c r="E66" s="6" t="s">
        <v>29</v>
      </c>
      <c r="F66" s="39" t="s">
        <v>25</v>
      </c>
    </row>
    <row r="67" spans="2:6" x14ac:dyDescent="0.25">
      <c r="B67" s="11" t="s">
        <v>41</v>
      </c>
      <c r="C67" s="44">
        <f>VLOOKUP(B67,Core[#All],2,FALSE)</f>
        <v>4</v>
      </c>
      <c r="E67" s="7" t="s">
        <v>34</v>
      </c>
      <c r="F67" s="42">
        <f>VLOOKUP(E67,Summer1st[#All],2,FALSE)</f>
        <v>0</v>
      </c>
    </row>
    <row r="68" spans="2:6" x14ac:dyDescent="0.25">
      <c r="B68" s="11" t="s">
        <v>42</v>
      </c>
      <c r="C68" s="44">
        <f>VLOOKUP(B68,Core[#All],2,FALSE)</f>
        <v>1</v>
      </c>
      <c r="E68" s="7" t="s">
        <v>34</v>
      </c>
      <c r="F68" s="42">
        <f>VLOOKUP(E68,Summer1st[#All],2,FALSE)</f>
        <v>0</v>
      </c>
    </row>
    <row r="69" spans="2:6" x14ac:dyDescent="0.25">
      <c r="B69" s="7" t="s">
        <v>34</v>
      </c>
      <c r="C69" s="42">
        <f>VLOOKUP(B69,Spring1st[#All],2,FALSE)</f>
        <v>0</v>
      </c>
      <c r="E69" s="7" t="s">
        <v>35</v>
      </c>
      <c r="F69" s="42">
        <f>VLOOKUP(E69,Summer2nd[#All],2,FALSE)</f>
        <v>0</v>
      </c>
    </row>
    <row r="70" spans="2:6" x14ac:dyDescent="0.25">
      <c r="B70" s="7" t="s">
        <v>34</v>
      </c>
      <c r="C70" s="42">
        <f>VLOOKUP(B70,Spring1st[#All],2,FALSE)</f>
        <v>0</v>
      </c>
      <c r="E70" s="7" t="s">
        <v>35</v>
      </c>
      <c r="F70" s="42">
        <f>VLOOKUP(E70,Summer2nd[#All],2,FALSE)</f>
        <v>0</v>
      </c>
    </row>
    <row r="71" spans="2:6" x14ac:dyDescent="0.25">
      <c r="B71" s="7" t="s">
        <v>35</v>
      </c>
      <c r="C71" s="42">
        <f>VLOOKUP(B71,Spring2nd[#All],2,FALSE)</f>
        <v>0</v>
      </c>
      <c r="E71" s="9"/>
      <c r="F71" s="46"/>
    </row>
    <row r="72" spans="2:6" x14ac:dyDescent="0.25">
      <c r="B72" s="7" t="s">
        <v>35</v>
      </c>
      <c r="C72" s="42">
        <f>VLOOKUP(B72,Spring2nd[#All],2,FALSE)</f>
        <v>0</v>
      </c>
      <c r="E72" s="9"/>
      <c r="F72" s="46"/>
    </row>
    <row r="73" spans="2:6" ht="15.75" thickBot="1" x14ac:dyDescent="0.3">
      <c r="B73" s="8" t="s">
        <v>36</v>
      </c>
      <c r="C73" s="45">
        <f>SUM(C67:C72)</f>
        <v>5</v>
      </c>
      <c r="E73" s="8" t="s">
        <v>36</v>
      </c>
      <c r="F73" s="45">
        <f>SUM(F67:F72)</f>
        <v>0</v>
      </c>
    </row>
    <row r="75" spans="2:6" ht="15.75" thickBot="1" x14ac:dyDescent="0.3"/>
    <row r="76" spans="2:6" ht="19.5" x14ac:dyDescent="0.4">
      <c r="B76" s="68" t="str">
        <f>CONCATENATE("Fall ",START_YEAR+3)</f>
        <v>Fall 2027</v>
      </c>
      <c r="C76" s="69"/>
      <c r="E76" s="68" t="str">
        <f>CONCATENATE("Winterim ",START_YEAR+4)</f>
        <v>Winterim 2028</v>
      </c>
      <c r="F76" s="69"/>
    </row>
    <row r="77" spans="2:6" ht="15.75" x14ac:dyDescent="0.25">
      <c r="B77" s="6" t="s">
        <v>29</v>
      </c>
      <c r="C77" s="39" t="s">
        <v>25</v>
      </c>
      <c r="E77" s="6" t="s">
        <v>29</v>
      </c>
      <c r="F77" s="39" t="s">
        <v>25</v>
      </c>
    </row>
    <row r="78" spans="2:6" x14ac:dyDescent="0.25">
      <c r="B78" s="11" t="s">
        <v>31</v>
      </c>
      <c r="C78" s="44">
        <f>VLOOKUP(B78,Core[#All],2,FALSE)</f>
        <v>0</v>
      </c>
      <c r="E78" s="10" t="s">
        <v>31</v>
      </c>
      <c r="F78" s="42">
        <f>VLOOKUP(E78,Winterim[#All],2,FALSE)</f>
        <v>0</v>
      </c>
    </row>
    <row r="79" spans="2:6" x14ac:dyDescent="0.25">
      <c r="B79" s="11" t="s">
        <v>31</v>
      </c>
      <c r="C79" s="44">
        <f>VLOOKUP(B79,Core[#All],2,FALSE)</f>
        <v>0</v>
      </c>
      <c r="E79" s="10" t="s">
        <v>31</v>
      </c>
      <c r="F79" s="42">
        <f>VLOOKUP(E79,Winterim[#All],2,FALSE)</f>
        <v>0</v>
      </c>
    </row>
    <row r="80" spans="2:6" x14ac:dyDescent="0.25">
      <c r="B80" s="7" t="s">
        <v>34</v>
      </c>
      <c r="C80" s="42">
        <f>VLOOKUP(B80,Fall1st[#All],2,FALSE)</f>
        <v>0</v>
      </c>
      <c r="E80" s="9"/>
      <c r="F80" s="46"/>
    </row>
    <row r="81" spans="2:6" x14ac:dyDescent="0.25">
      <c r="B81" s="7" t="s">
        <v>34</v>
      </c>
      <c r="C81" s="42">
        <f>VLOOKUP(B81,Fall1st[#All],2,FALSE)</f>
        <v>0</v>
      </c>
      <c r="E81" s="9"/>
      <c r="F81" s="46"/>
    </row>
    <row r="82" spans="2:6" x14ac:dyDescent="0.25">
      <c r="B82" s="7" t="s">
        <v>35</v>
      </c>
      <c r="C82" s="42">
        <f>VLOOKUP(B82,Fall2nd[#All],2,FALSE)</f>
        <v>0</v>
      </c>
      <c r="E82" s="9"/>
      <c r="F82" s="46"/>
    </row>
    <row r="83" spans="2:6" x14ac:dyDescent="0.25">
      <c r="B83" s="7" t="s">
        <v>35</v>
      </c>
      <c r="C83" s="42">
        <f>VLOOKUP(B83,Fall2nd[#All],2,FALSE)</f>
        <v>0</v>
      </c>
      <c r="E83" s="9"/>
      <c r="F83" s="46"/>
    </row>
    <row r="84" spans="2:6" ht="15.75" thickBot="1" x14ac:dyDescent="0.3">
      <c r="B84" s="8" t="s">
        <v>36</v>
      </c>
      <c r="C84" s="45">
        <f>SUM(C78:C83)</f>
        <v>0</v>
      </c>
      <c r="E84" s="8" t="s">
        <v>36</v>
      </c>
      <c r="F84" s="45">
        <f>SUM(F78:F83)</f>
        <v>0</v>
      </c>
    </row>
    <row r="86" spans="2:6" ht="15.75" thickBot="1" x14ac:dyDescent="0.3"/>
    <row r="87" spans="2:6" ht="19.5" x14ac:dyDescent="0.4">
      <c r="B87" s="68" t="str">
        <f>CONCATENATE("Spring ",START_YEAR+4)</f>
        <v>Spring 2028</v>
      </c>
      <c r="C87" s="69"/>
      <c r="E87" s="68" t="str">
        <f>CONCATENATE("Summer ",START_YEAR+4)</f>
        <v>Summer 2028</v>
      </c>
      <c r="F87" s="69"/>
    </row>
    <row r="88" spans="2:6" ht="15.75" x14ac:dyDescent="0.25">
      <c r="B88" s="6" t="s">
        <v>29</v>
      </c>
      <c r="C88" s="39" t="s">
        <v>25</v>
      </c>
      <c r="E88" s="6" t="s">
        <v>29</v>
      </c>
      <c r="F88" s="39" t="s">
        <v>25</v>
      </c>
    </row>
    <row r="89" spans="2:6" x14ac:dyDescent="0.25">
      <c r="B89" s="11" t="s">
        <v>31</v>
      </c>
      <c r="C89" s="44">
        <f>VLOOKUP(B89,Core[#All],2,FALSE)</f>
        <v>0</v>
      </c>
      <c r="E89" s="7" t="s">
        <v>34</v>
      </c>
      <c r="F89" s="42">
        <f>VLOOKUP(E89,Summer1st[#All],2,FALSE)</f>
        <v>0</v>
      </c>
    </row>
    <row r="90" spans="2:6" x14ac:dyDescent="0.25">
      <c r="B90" s="11" t="s">
        <v>31</v>
      </c>
      <c r="C90" s="44">
        <f>VLOOKUP(B90,Core[#All],2,FALSE)</f>
        <v>0</v>
      </c>
      <c r="E90" s="7" t="s">
        <v>34</v>
      </c>
      <c r="F90" s="42">
        <f>VLOOKUP(E90,Summer1st[#All],2,FALSE)</f>
        <v>0</v>
      </c>
    </row>
    <row r="91" spans="2:6" x14ac:dyDescent="0.25">
      <c r="B91" s="7" t="s">
        <v>34</v>
      </c>
      <c r="C91" s="42">
        <f>VLOOKUP(B91,Spring1st[#All],2,FALSE)</f>
        <v>0</v>
      </c>
      <c r="E91" s="7" t="s">
        <v>35</v>
      </c>
      <c r="F91" s="42">
        <f>VLOOKUP(E91,Summer2nd[#All],2,FALSE)</f>
        <v>0</v>
      </c>
    </row>
    <row r="92" spans="2:6" x14ac:dyDescent="0.25">
      <c r="B92" s="7" t="s">
        <v>34</v>
      </c>
      <c r="C92" s="42">
        <f>VLOOKUP(B92,Spring1st[#All],2,FALSE)</f>
        <v>0</v>
      </c>
      <c r="E92" s="7" t="s">
        <v>35</v>
      </c>
      <c r="F92" s="42">
        <f>VLOOKUP(E92,Summer2nd[#All],2,FALSE)</f>
        <v>0</v>
      </c>
    </row>
    <row r="93" spans="2:6" x14ac:dyDescent="0.25">
      <c r="B93" s="7" t="s">
        <v>35</v>
      </c>
      <c r="C93" s="42">
        <f>VLOOKUP(B93,Spring2nd[#All],2,FALSE)</f>
        <v>0</v>
      </c>
      <c r="E93" s="9"/>
      <c r="F93" s="46"/>
    </row>
    <row r="94" spans="2:6" x14ac:dyDescent="0.25">
      <c r="B94" s="7" t="s">
        <v>35</v>
      </c>
      <c r="C94" s="42">
        <f>VLOOKUP(B94,Spring2nd[#All],2,FALSE)</f>
        <v>0</v>
      </c>
      <c r="E94" s="9"/>
      <c r="F94" s="46"/>
    </row>
    <row r="95" spans="2:6" ht="15.75" thickBot="1" x14ac:dyDescent="0.3">
      <c r="B95" s="8" t="s">
        <v>36</v>
      </c>
      <c r="C95" s="45">
        <f>SUM(C89:C94)</f>
        <v>0</v>
      </c>
      <c r="E95" s="8" t="s">
        <v>36</v>
      </c>
      <c r="F95" s="45">
        <f>SUM(F89:F94)</f>
        <v>0</v>
      </c>
    </row>
  </sheetData>
  <protectedRanges>
    <protectedRange algorithmName="SHA-512" hashValue="X5KlBQtH9SSyoh0IYHIrXqqhzdzC1NakNR9N7Ch6GyHcv5RwMazqsiufE/xMruqDfkHNJ4oZetdkoZOOGSjGmg==" saltValue="Pji2fEXLGBxiH7aohFoXGA==" spinCount="100000" sqref="A95:F96 F89:F94 C89:D94 A89:A94 A84:F88 F78:F83 C78:D83 A78:A83 A73:F77 F67:F72 C67:D72 A67:A72 A62:F66 F56:F61 C56:D61 A56:A61 A51:F55 F45:F50 C45:D50 A45:A50 A40:F44" name="Range1"/>
  </protectedRanges>
  <mergeCells count="18">
    <mergeCell ref="B87:C87"/>
    <mergeCell ref="E87:F87"/>
    <mergeCell ref="B54:C54"/>
    <mergeCell ref="E54:F54"/>
    <mergeCell ref="B65:C65"/>
    <mergeCell ref="E65:F65"/>
    <mergeCell ref="B76:C76"/>
    <mergeCell ref="E76:F76"/>
    <mergeCell ref="B2:F2"/>
    <mergeCell ref="B9:C9"/>
    <mergeCell ref="B21:C21"/>
    <mergeCell ref="B32:C32"/>
    <mergeCell ref="B43:C43"/>
    <mergeCell ref="E9:F9"/>
    <mergeCell ref="E21:F21"/>
    <mergeCell ref="E32:F32"/>
    <mergeCell ref="E43:F43"/>
    <mergeCell ref="E3:F4"/>
  </mergeCells>
  <conditionalFormatting sqref="D5:F5">
    <cfRule type="expression" dxfId="20" priority="3">
      <formula>$C$5&lt;26</formula>
    </cfRule>
    <cfRule type="expression" dxfId="19" priority="7">
      <formula>$C$5&gt;26</formula>
    </cfRule>
  </conditionalFormatting>
  <conditionalFormatting sqref="D6:F6">
    <cfRule type="expression" dxfId="18" priority="4">
      <formula>$C$6&lt;10</formula>
    </cfRule>
    <cfRule type="expression" dxfId="17" priority="5">
      <formula>$C$6&gt;10</formula>
    </cfRule>
  </conditionalFormatting>
  <conditionalFormatting sqref="D7:F7">
    <cfRule type="expression" dxfId="16" priority="2">
      <formula>$C$7&lt;36</formula>
    </cfRule>
    <cfRule type="expression" dxfId="15" priority="6">
      <formula>$C$7&gt;36</formula>
    </cfRule>
  </conditionalFormatting>
  <conditionalFormatting sqref="E3:F4">
    <cfRule type="containsText" dxfId="14" priority="1" operator="containsText" text="WARNING">
      <formula>NOT(ISERROR(SEARCH("WARNING",E3)))</formula>
    </cfRule>
  </conditionalFormatting>
  <pageMargins left="0.25" right="0.25" top="0.75" bottom="0.75" header="0.3" footer="0.3"/>
  <pageSetup scale="43" orientation="portrait" horizontalDpi="4294967293"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7E4A8640-31EE-4059-B189-14ECC266E11D}">
          <x14:formula1>
            <xm:f>Courses!$A$72:$A$82</xm:f>
          </x14:formula1>
          <xm:sqref>B11:B13 B89:B90 B67:B68 B45:B46 B23:B24 B78:B79 B56:B57 B34:B35</xm:sqref>
        </x14:dataValidation>
        <x14:dataValidation type="list" allowBlank="1" showInputMessage="1" showErrorMessage="1" xr:uid="{291E807F-D6CA-4433-B75C-8116DEA9A178}">
          <x14:formula1>
            <xm:f>Courses!$A$2:$A$5</xm:f>
          </x14:formula1>
          <xm:sqref>B14:B15 B36:B37 B58:B59 B80:B81</xm:sqref>
        </x14:dataValidation>
        <x14:dataValidation type="list" allowBlank="1" showInputMessage="1" showErrorMessage="1" xr:uid="{D135CDFB-E01F-4C73-891C-B02670FBBCE8}">
          <x14:formula1>
            <xm:f>Courses!$A$9:$A$13</xm:f>
          </x14:formula1>
          <xm:sqref>B16:B17 B38:B39 B60:B61 B82:B83</xm:sqref>
        </x14:dataValidation>
        <x14:dataValidation type="list" allowBlank="1" showInputMessage="1" showErrorMessage="1" xr:uid="{2B81726F-EDF6-44FC-9E4E-C543AFD420FC}">
          <x14:formula1>
            <xm:f>Courses!$A$17:$A$24</xm:f>
          </x14:formula1>
          <xm:sqref>E11:E12 E34:E35 E56:E57 E78:E79</xm:sqref>
        </x14:dataValidation>
        <x14:dataValidation type="list" allowBlank="1" showInputMessage="1" showErrorMessage="1" xr:uid="{3979A7C9-B429-4154-9E8C-BF1E362CDCC4}">
          <x14:formula1>
            <xm:f>Courses!$A$28:$A$32</xm:f>
          </x14:formula1>
          <xm:sqref>B25:B26 B47:B48 B69:B70 B91:B92</xm:sqref>
        </x14:dataValidation>
        <x14:dataValidation type="list" allowBlank="1" showInputMessage="1" showErrorMessage="1" xr:uid="{5A275C7A-46F3-420A-AC01-76412B33707B}">
          <x14:formula1>
            <xm:f>Courses!$A$36:$A$39</xm:f>
          </x14:formula1>
          <xm:sqref>B27:B28 B49:B50 B71:B72 B93:B94</xm:sqref>
        </x14:dataValidation>
        <x14:dataValidation type="list" allowBlank="1" showInputMessage="1" showErrorMessage="1" xr:uid="{5D299372-D356-4825-8E28-8DCF91264A36}">
          <x14:formula1>
            <xm:f>Courses!$A$43:$A$53</xm:f>
          </x14:formula1>
          <xm:sqref>E23:E24 E45:E46 E67:E68 E89:E90</xm:sqref>
        </x14:dataValidation>
        <x14:dataValidation type="list" allowBlank="1" showInputMessage="1" showErrorMessage="1" xr:uid="{C6A1B217-194C-4A92-9F4D-78909E998179}">
          <x14:formula1>
            <xm:f>Courses!$A$57:$A$68</xm:f>
          </x14:formula1>
          <xm:sqref>E25:E26 E91:E92 E69:E70 E47:E48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6EB90-4497-4DBE-982B-708712B0DD2C}">
  <sheetPr>
    <tabColor theme="9" tint="0.59999389629810485"/>
    <pageSetUpPr fitToPage="1"/>
  </sheetPr>
  <dimension ref="B1:I95"/>
  <sheetViews>
    <sheetView topLeftCell="A28" zoomScaleNormal="100" workbookViewId="0">
      <selection activeCell="F63" sqref="F63"/>
    </sheetView>
  </sheetViews>
  <sheetFormatPr defaultRowHeight="15" x14ac:dyDescent="0.25"/>
  <cols>
    <col min="1" max="1" width="3.5703125" customWidth="1"/>
    <col min="2" max="2" width="71.42578125" style="2" customWidth="1"/>
    <col min="3" max="3" width="7.85546875" style="40" customWidth="1"/>
    <col min="4" max="4" width="4.28515625" customWidth="1"/>
    <col min="5" max="5" width="71.42578125" customWidth="1"/>
    <col min="6" max="6" width="7.85546875" style="40" customWidth="1"/>
    <col min="7" max="7" width="3.5703125" customWidth="1"/>
    <col min="8" max="8" width="42.42578125" bestFit="1" customWidth="1"/>
    <col min="9" max="9" width="10.7109375" customWidth="1"/>
    <col min="10" max="10" width="10.28515625" customWidth="1"/>
  </cols>
  <sheetData>
    <row r="1" spans="2:9" ht="15.75" thickBot="1" x14ac:dyDescent="0.3"/>
    <row r="2" spans="2:9" ht="110.45" customHeight="1" thickBot="1" x14ac:dyDescent="0.5">
      <c r="B2" s="63" t="str">
        <f>_xlfn.CONCAT(YOUR_NAME,"'s Degree Plan",CHAR(10),DEGREE_TYPE," (36 Credits)")</f>
        <v>YOUR NAME HERE's Degree Plan
Select your emphasis (36 Credits)</v>
      </c>
      <c r="C2" s="64"/>
      <c r="D2" s="64"/>
      <c r="E2" s="64"/>
      <c r="F2" s="65"/>
    </row>
    <row r="3" spans="2:9" ht="43.5" customHeight="1" thickBot="1" x14ac:dyDescent="0.5">
      <c r="B3" s="5"/>
      <c r="C3" s="4"/>
      <c r="D3" s="4"/>
      <c r="E3" s="70" t="str">
        <f>IF(AND(DEGREE_TYPE="MBA in Healthcare Management",OR(ISNUMBER(SEARCH("Fall",Courses!E11)),ISNUMBER(SEARCH("Winterim",Courses!E18)),ISNUMBER(SEARCH("Winterim",Courses!E23)),ISNUMBER(SEARCH("Summer",Courses!E58)),ISNUMBER(SEARCH("Summer",Courses!E62)))),HCM_Elective_Warning,"")</f>
        <v/>
      </c>
      <c r="F3" s="70"/>
    </row>
    <row r="4" spans="2:9" ht="18.75" x14ac:dyDescent="0.4">
      <c r="B4" s="12" t="s">
        <v>24</v>
      </c>
      <c r="C4" s="47" t="s">
        <v>25</v>
      </c>
      <c r="E4" s="71"/>
      <c r="F4" s="71"/>
    </row>
    <row r="5" spans="2:9" ht="15.75" x14ac:dyDescent="0.25">
      <c r="B5" s="29" t="s">
        <v>26</v>
      </c>
      <c r="C5" s="41">
        <f>SUM(C11:C13,C23:C24,C34:C35,C45:C46,C56:C57,C67:C68,C78:C79,C89:C90)</f>
        <v>26</v>
      </c>
      <c r="D5" s="50" t="str">
        <f>IF(C5&gt;26,"NOTE: You've selected more core credits than you're required to take.","Please select 26 credits to meet this requirement.")</f>
        <v>Please select 26 credits to meet this requirement.</v>
      </c>
      <c r="E5" s="49"/>
      <c r="F5" s="4"/>
    </row>
    <row r="6" spans="2:9" ht="15.75" x14ac:dyDescent="0.25">
      <c r="B6" s="30" t="s">
        <v>27</v>
      </c>
      <c r="C6" s="42">
        <f>SUM(C14:C17,F18,C25:C28,F29,C36:C39,F40,C47:C50,F51,C58:C61,F62,C69:C72,F73,C80:C83,F84,C91:C94,F95)</f>
        <v>0</v>
      </c>
      <c r="D6" s="50" t="str">
        <f>IF(C6&gt;10,"NOTE: You've selected more elective credits than you're required to take.","Please select at least 10 credits to meet this requirement.")</f>
        <v>Please select at least 10 credits to meet this requirement.</v>
      </c>
      <c r="E6" s="4"/>
      <c r="F6" s="4"/>
    </row>
    <row r="7" spans="2:9" ht="16.5" thickBot="1" x14ac:dyDescent="0.3">
      <c r="B7" s="31" t="s">
        <v>28</v>
      </c>
      <c r="C7" s="43">
        <f>SUM(C5:C6)</f>
        <v>26</v>
      </c>
      <c r="D7" s="50" t="str">
        <f>IF(C7&gt;36,"NOTE: You've selected more total credits than you're required to take.","Please select at least 36 credits to meet this requirement.")</f>
        <v>Please select at least 36 credits to meet this requirement.</v>
      </c>
      <c r="E7" s="4"/>
      <c r="F7" s="4"/>
    </row>
    <row r="8" spans="2:9" ht="23.25" thickBot="1" x14ac:dyDescent="0.5">
      <c r="B8" s="5"/>
      <c r="C8" s="4"/>
      <c r="D8" s="4"/>
      <c r="E8" s="4"/>
      <c r="F8" s="4"/>
    </row>
    <row r="9" spans="2:9" ht="19.5" x14ac:dyDescent="0.4">
      <c r="B9" s="66" t="str">
        <f>CONCATENATE("Spring ",START_YEAR)</f>
        <v>Spring 2024</v>
      </c>
      <c r="C9" s="67"/>
      <c r="E9" s="66" t="str">
        <f>CONCATENATE("Summer ",START_YEAR)</f>
        <v>Summer 2024</v>
      </c>
      <c r="F9" s="67"/>
      <c r="H9" s="38"/>
      <c r="I9" s="3"/>
    </row>
    <row r="10" spans="2:9" ht="15.75" x14ac:dyDescent="0.25">
      <c r="B10" s="6" t="s">
        <v>29</v>
      </c>
      <c r="C10" s="39" t="s">
        <v>25</v>
      </c>
      <c r="E10" s="6" t="s">
        <v>29</v>
      </c>
      <c r="F10" s="39" t="s">
        <v>25</v>
      </c>
      <c r="H10" s="2"/>
      <c r="I10" s="3"/>
    </row>
    <row r="11" spans="2:9" ht="18" customHeight="1" x14ac:dyDescent="0.25">
      <c r="B11" s="11" t="s">
        <v>30</v>
      </c>
      <c r="C11" s="44">
        <f>VLOOKUP(B11,Core[#All],2,FALSE)</f>
        <v>1</v>
      </c>
      <c r="E11" s="7" t="s">
        <v>34</v>
      </c>
      <c r="F11" s="42">
        <f>VLOOKUP(E11,Summer1st[#All],2,FALSE)</f>
        <v>0</v>
      </c>
      <c r="H11" s="2"/>
      <c r="I11" s="3"/>
    </row>
    <row r="12" spans="2:9" x14ac:dyDescent="0.25">
      <c r="B12" s="11" t="s">
        <v>32</v>
      </c>
      <c r="C12" s="44">
        <f>VLOOKUP(B12,Core[#All],2,FALSE)</f>
        <v>2</v>
      </c>
      <c r="E12" s="7" t="s">
        <v>34</v>
      </c>
      <c r="F12" s="42">
        <f>VLOOKUP(E12,Summer1st[#All],2,FALSE)</f>
        <v>0</v>
      </c>
      <c r="H12" s="13"/>
      <c r="I12" s="14"/>
    </row>
    <row r="13" spans="2:9" x14ac:dyDescent="0.25">
      <c r="B13" s="11" t="s">
        <v>33</v>
      </c>
      <c r="C13" s="44">
        <f>VLOOKUP(B13,Core[#All],2,FALSE)</f>
        <v>2</v>
      </c>
      <c r="E13" s="7" t="s">
        <v>35</v>
      </c>
      <c r="F13" s="42">
        <f>VLOOKUP(E13,Summer2nd[#All],2,FALSE)</f>
        <v>0</v>
      </c>
    </row>
    <row r="14" spans="2:9" x14ac:dyDescent="0.25">
      <c r="B14" s="7" t="s">
        <v>34</v>
      </c>
      <c r="C14" s="42">
        <f>VLOOKUP(B14,Spring1st[#All],2,FALSE)</f>
        <v>0</v>
      </c>
      <c r="E14" s="7" t="s">
        <v>35</v>
      </c>
      <c r="F14" s="42">
        <f>VLOOKUP(E14,Summer2nd[#All],2,FALSE)</f>
        <v>0</v>
      </c>
    </row>
    <row r="15" spans="2:9" x14ac:dyDescent="0.25">
      <c r="B15" s="7" t="s">
        <v>34</v>
      </c>
      <c r="C15" s="42">
        <f>VLOOKUP(B15,Spring1st[#All],2,FALSE)</f>
        <v>0</v>
      </c>
      <c r="E15" s="9"/>
      <c r="F15" s="46"/>
    </row>
    <row r="16" spans="2:9" x14ac:dyDescent="0.25">
      <c r="B16" s="7" t="s">
        <v>35</v>
      </c>
      <c r="C16" s="42">
        <f>VLOOKUP(B16,Spring2nd[#All],2,FALSE)</f>
        <v>0</v>
      </c>
      <c r="E16" s="9"/>
      <c r="F16" s="46"/>
    </row>
    <row r="17" spans="2:8" x14ac:dyDescent="0.25">
      <c r="B17" s="7" t="s">
        <v>35</v>
      </c>
      <c r="C17" s="42">
        <f>VLOOKUP(B17,Spring2nd[#All],2,FALSE)</f>
        <v>0</v>
      </c>
      <c r="E17" s="9"/>
      <c r="F17" s="46"/>
    </row>
    <row r="18" spans="2:8" ht="15.75" thickBot="1" x14ac:dyDescent="0.3">
      <c r="B18" s="8" t="s">
        <v>36</v>
      </c>
      <c r="C18" s="45">
        <f>SUM(C11:C17)</f>
        <v>5</v>
      </c>
      <c r="E18" s="8" t="s">
        <v>36</v>
      </c>
      <c r="F18" s="45">
        <f>SUM(F11:F17)</f>
        <v>0</v>
      </c>
    </row>
    <row r="20" spans="2:8" ht="15.75" thickBot="1" x14ac:dyDescent="0.3">
      <c r="H20" s="1"/>
    </row>
    <row r="21" spans="2:8" ht="19.5" x14ac:dyDescent="0.4">
      <c r="B21" s="68" t="str">
        <f>CONCATENATE("Fall ",START_YEAR)</f>
        <v>Fall 2024</v>
      </c>
      <c r="C21" s="69"/>
      <c r="E21" s="68" t="str">
        <f>CONCATENATE("Winterim ",START_YEAR+1)</f>
        <v>Winterim 2025</v>
      </c>
      <c r="F21" s="69"/>
    </row>
    <row r="22" spans="2:8" ht="15.75" x14ac:dyDescent="0.25">
      <c r="B22" s="6" t="s">
        <v>29</v>
      </c>
      <c r="C22" s="39" t="s">
        <v>25</v>
      </c>
      <c r="E22" s="6" t="s">
        <v>29</v>
      </c>
      <c r="F22" s="39" t="s">
        <v>25</v>
      </c>
    </row>
    <row r="23" spans="2:8" ht="30" x14ac:dyDescent="0.25">
      <c r="B23" s="11" t="s">
        <v>37</v>
      </c>
      <c r="C23" s="44">
        <f>VLOOKUP(B23,Core[#All],2,FALSE)</f>
        <v>4</v>
      </c>
      <c r="E23" s="10" t="s">
        <v>31</v>
      </c>
      <c r="F23" s="42">
        <f>VLOOKUP(E23,Winterim[#All],2,FALSE)</f>
        <v>0</v>
      </c>
    </row>
    <row r="24" spans="2:8" x14ac:dyDescent="0.25">
      <c r="B24" s="11" t="s">
        <v>31</v>
      </c>
      <c r="C24" s="44">
        <f>VLOOKUP(B24,Core[#All],2,FALSE)</f>
        <v>0</v>
      </c>
      <c r="E24" s="10" t="s">
        <v>31</v>
      </c>
      <c r="F24" s="42">
        <f>VLOOKUP(E24,Winterim[#All],2,FALSE)</f>
        <v>0</v>
      </c>
    </row>
    <row r="25" spans="2:8" x14ac:dyDescent="0.25">
      <c r="B25" s="7" t="s">
        <v>34</v>
      </c>
      <c r="C25" s="42">
        <f>VLOOKUP(B25,Fall1st[#All],2,FALSE)</f>
        <v>0</v>
      </c>
      <c r="E25" s="9"/>
      <c r="F25" s="46"/>
    </row>
    <row r="26" spans="2:8" x14ac:dyDescent="0.25">
      <c r="B26" s="7" t="s">
        <v>34</v>
      </c>
      <c r="C26" s="42">
        <f>VLOOKUP(B26,Fall1st[#All],2,FALSE)</f>
        <v>0</v>
      </c>
      <c r="E26" s="9"/>
      <c r="F26" s="46"/>
    </row>
    <row r="27" spans="2:8" x14ac:dyDescent="0.25">
      <c r="B27" s="7" t="s">
        <v>35</v>
      </c>
      <c r="C27" s="42">
        <f>VLOOKUP(B27,Fall2nd[#All],2,FALSE)</f>
        <v>0</v>
      </c>
      <c r="E27" s="9"/>
      <c r="F27" s="46"/>
    </row>
    <row r="28" spans="2:8" x14ac:dyDescent="0.25">
      <c r="B28" s="7" t="s">
        <v>35</v>
      </c>
      <c r="C28" s="42">
        <f>VLOOKUP(B28,Fall2nd[#All],2,FALSE)</f>
        <v>0</v>
      </c>
      <c r="E28" s="9"/>
      <c r="F28" s="46"/>
    </row>
    <row r="29" spans="2:8" ht="15.75" thickBot="1" x14ac:dyDescent="0.3">
      <c r="B29" s="8" t="s">
        <v>36</v>
      </c>
      <c r="C29" s="45">
        <f>SUM(C23:C28)</f>
        <v>4</v>
      </c>
      <c r="E29" s="8" t="s">
        <v>36</v>
      </c>
      <c r="F29" s="45">
        <f>SUM(F23:F28)</f>
        <v>0</v>
      </c>
    </row>
    <row r="31" spans="2:8" ht="15.75" thickBot="1" x14ac:dyDescent="0.3"/>
    <row r="32" spans="2:8" ht="19.5" x14ac:dyDescent="0.4">
      <c r="B32" s="68" t="str">
        <f>CONCATENATE("Spring ",START_YEAR+1)</f>
        <v>Spring 2025</v>
      </c>
      <c r="C32" s="69"/>
      <c r="E32" s="68" t="str">
        <f>CONCATENATE("Summer ",START_YEAR+1)</f>
        <v>Summer 2025</v>
      </c>
      <c r="F32" s="69"/>
    </row>
    <row r="33" spans="2:6" ht="15.75" x14ac:dyDescent="0.25">
      <c r="B33" s="6" t="s">
        <v>29</v>
      </c>
      <c r="C33" s="39" t="s">
        <v>25</v>
      </c>
      <c r="E33" s="6" t="s">
        <v>29</v>
      </c>
      <c r="F33" s="39" t="s">
        <v>25</v>
      </c>
    </row>
    <row r="34" spans="2:6" x14ac:dyDescent="0.25">
      <c r="B34" s="11" t="s">
        <v>38</v>
      </c>
      <c r="C34" s="44">
        <f>VLOOKUP(B34,Core[#All],2,FALSE)</f>
        <v>4</v>
      </c>
      <c r="E34" s="7" t="s">
        <v>34</v>
      </c>
      <c r="F34" s="42">
        <f>VLOOKUP(E34,Summer1st[#All],2,FALSE)</f>
        <v>0</v>
      </c>
    </row>
    <row r="35" spans="2:6" x14ac:dyDescent="0.25">
      <c r="B35" s="11" t="s">
        <v>31</v>
      </c>
      <c r="C35" s="44">
        <f>VLOOKUP(B35,Core[#All],2,FALSE)</f>
        <v>0</v>
      </c>
      <c r="E35" s="7" t="s">
        <v>34</v>
      </c>
      <c r="F35" s="42">
        <f>VLOOKUP(E35,Summer1st[#All],2,FALSE)</f>
        <v>0</v>
      </c>
    </row>
    <row r="36" spans="2:6" x14ac:dyDescent="0.25">
      <c r="B36" s="7" t="s">
        <v>34</v>
      </c>
      <c r="C36" s="42">
        <f>VLOOKUP(B36,Spring1st[#All],2,FALSE)</f>
        <v>0</v>
      </c>
      <c r="E36" s="7" t="s">
        <v>35</v>
      </c>
      <c r="F36" s="42">
        <f>VLOOKUP(E36,Summer2nd[#All],2,FALSE)</f>
        <v>0</v>
      </c>
    </row>
    <row r="37" spans="2:6" x14ac:dyDescent="0.25">
      <c r="B37" s="7" t="s">
        <v>34</v>
      </c>
      <c r="C37" s="42">
        <f>VLOOKUP(B37,Spring1st[#All],2,FALSE)</f>
        <v>0</v>
      </c>
      <c r="E37" s="7" t="s">
        <v>35</v>
      </c>
      <c r="F37" s="42">
        <f>VLOOKUP(E37,Summer2nd[#All],2,FALSE)</f>
        <v>0</v>
      </c>
    </row>
    <row r="38" spans="2:6" x14ac:dyDescent="0.25">
      <c r="B38" s="7" t="s">
        <v>35</v>
      </c>
      <c r="C38" s="42">
        <f>VLOOKUP(B38,Spring2nd[#All],2,FALSE)</f>
        <v>0</v>
      </c>
      <c r="E38" s="9"/>
      <c r="F38" s="46"/>
    </row>
    <row r="39" spans="2:6" x14ac:dyDescent="0.25">
      <c r="B39" s="7" t="s">
        <v>35</v>
      </c>
      <c r="C39" s="42">
        <f>VLOOKUP(B39,Spring2nd[#All],2,FALSE)</f>
        <v>0</v>
      </c>
      <c r="E39" s="9"/>
      <c r="F39" s="46"/>
    </row>
    <row r="40" spans="2:6" ht="15.75" thickBot="1" x14ac:dyDescent="0.3">
      <c r="B40" s="8" t="s">
        <v>36</v>
      </c>
      <c r="C40" s="45">
        <f>SUM(C34:C39)</f>
        <v>4</v>
      </c>
      <c r="E40" s="8" t="s">
        <v>36</v>
      </c>
      <c r="F40" s="45">
        <f>SUM(F34:F39)</f>
        <v>0</v>
      </c>
    </row>
    <row r="42" spans="2:6" ht="15.75" thickBot="1" x14ac:dyDescent="0.3"/>
    <row r="43" spans="2:6" ht="19.5" x14ac:dyDescent="0.4">
      <c r="B43" s="68" t="str">
        <f>CONCATENATE("Fall ",START_YEAR+1)</f>
        <v>Fall 2025</v>
      </c>
      <c r="C43" s="69"/>
      <c r="E43" s="68" t="str">
        <f>CONCATENATE("Winterim ",START_YEAR+2)</f>
        <v>Winterim 2026</v>
      </c>
      <c r="F43" s="69"/>
    </row>
    <row r="44" spans="2:6" ht="15.75" x14ac:dyDescent="0.25">
      <c r="B44" s="6" t="s">
        <v>29</v>
      </c>
      <c r="C44" s="39" t="s">
        <v>25</v>
      </c>
      <c r="E44" s="6" t="s">
        <v>29</v>
      </c>
      <c r="F44" s="39" t="s">
        <v>25</v>
      </c>
    </row>
    <row r="45" spans="2:6" x14ac:dyDescent="0.25">
      <c r="B45" s="11" t="s">
        <v>39</v>
      </c>
      <c r="C45" s="44">
        <f>VLOOKUP(B45,Core[#All],2,FALSE)</f>
        <v>4</v>
      </c>
      <c r="E45" s="10" t="s">
        <v>31</v>
      </c>
      <c r="F45" s="42">
        <f>VLOOKUP(E45,Winterim[#All],2,FALSE)</f>
        <v>0</v>
      </c>
    </row>
    <row r="46" spans="2:6" x14ac:dyDescent="0.25">
      <c r="B46" s="11" t="s">
        <v>31</v>
      </c>
      <c r="C46" s="44">
        <f>VLOOKUP(B46,Core[#All],2,FALSE)</f>
        <v>0</v>
      </c>
      <c r="E46" s="10" t="s">
        <v>31</v>
      </c>
      <c r="F46" s="42">
        <f>VLOOKUP(E46,Winterim[#All],2,FALSE)</f>
        <v>0</v>
      </c>
    </row>
    <row r="47" spans="2:6" x14ac:dyDescent="0.25">
      <c r="B47" s="7" t="s">
        <v>34</v>
      </c>
      <c r="C47" s="42">
        <f>VLOOKUP(B47,Fall1st[#All],2,FALSE)</f>
        <v>0</v>
      </c>
      <c r="E47" s="9"/>
      <c r="F47" s="46"/>
    </row>
    <row r="48" spans="2:6" x14ac:dyDescent="0.25">
      <c r="B48" s="7" t="s">
        <v>34</v>
      </c>
      <c r="C48" s="42">
        <f>VLOOKUP(B48,Fall1st[#All],2,FALSE)</f>
        <v>0</v>
      </c>
      <c r="E48" s="9"/>
      <c r="F48" s="46"/>
    </row>
    <row r="49" spans="2:6" x14ac:dyDescent="0.25">
      <c r="B49" s="7" t="s">
        <v>35</v>
      </c>
      <c r="C49" s="42">
        <f>VLOOKUP(B49,Fall2nd[#All],2,FALSE)</f>
        <v>0</v>
      </c>
      <c r="E49" s="9"/>
      <c r="F49" s="46"/>
    </row>
    <row r="50" spans="2:6" x14ac:dyDescent="0.25">
      <c r="B50" s="7" t="s">
        <v>35</v>
      </c>
      <c r="C50" s="42">
        <f>VLOOKUP(B50,Fall2nd[#All],2,FALSE)</f>
        <v>0</v>
      </c>
      <c r="E50" s="9"/>
      <c r="F50" s="46"/>
    </row>
    <row r="51" spans="2:6" ht="15.75" thickBot="1" x14ac:dyDescent="0.3">
      <c r="B51" s="8" t="s">
        <v>36</v>
      </c>
      <c r="C51" s="45">
        <f>SUM(C45:C50)</f>
        <v>4</v>
      </c>
      <c r="E51" s="8" t="s">
        <v>36</v>
      </c>
      <c r="F51" s="45">
        <f>SUM(F45:F50)</f>
        <v>0</v>
      </c>
    </row>
    <row r="53" spans="2:6" ht="15.75" thickBot="1" x14ac:dyDescent="0.3"/>
    <row r="54" spans="2:6" ht="19.5" x14ac:dyDescent="0.4">
      <c r="B54" s="68" t="str">
        <f>CONCATENATE("Spring ",START_YEAR+2)</f>
        <v>Spring 2026</v>
      </c>
      <c r="C54" s="69"/>
      <c r="E54" s="68" t="str">
        <f>CONCATENATE("Summer ",START_YEAR+2)</f>
        <v>Summer 2026</v>
      </c>
      <c r="F54" s="69"/>
    </row>
    <row r="55" spans="2:6" ht="15.75" x14ac:dyDescent="0.25">
      <c r="B55" s="6" t="s">
        <v>29</v>
      </c>
      <c r="C55" s="39" t="s">
        <v>25</v>
      </c>
      <c r="E55" s="6" t="s">
        <v>29</v>
      </c>
      <c r="F55" s="39" t="s">
        <v>25</v>
      </c>
    </row>
    <row r="56" spans="2:6" x14ac:dyDescent="0.25">
      <c r="B56" s="11" t="s">
        <v>40</v>
      </c>
      <c r="C56" s="44">
        <f>VLOOKUP(B56,Core[#All],2,FALSE)</f>
        <v>4</v>
      </c>
      <c r="E56" s="7" t="s">
        <v>34</v>
      </c>
      <c r="F56" s="42">
        <f>VLOOKUP(E56,Summer1st[#All],2,FALSE)</f>
        <v>0</v>
      </c>
    </row>
    <row r="57" spans="2:6" x14ac:dyDescent="0.25">
      <c r="B57" s="11" t="s">
        <v>31</v>
      </c>
      <c r="C57" s="44">
        <f>VLOOKUP(B57,Core[#All],2,FALSE)</f>
        <v>0</v>
      </c>
      <c r="E57" s="7" t="s">
        <v>34</v>
      </c>
      <c r="F57" s="42">
        <f>VLOOKUP(E57,Summer1st[#All],2,FALSE)</f>
        <v>0</v>
      </c>
    </row>
    <row r="58" spans="2:6" x14ac:dyDescent="0.25">
      <c r="B58" s="7" t="s">
        <v>34</v>
      </c>
      <c r="C58" s="42">
        <f>VLOOKUP(B58,Spring1st[#All],2,FALSE)</f>
        <v>0</v>
      </c>
      <c r="E58" s="7" t="s">
        <v>35</v>
      </c>
      <c r="F58" s="42">
        <f>VLOOKUP(E58,Summer2nd[#All],2,FALSE)</f>
        <v>0</v>
      </c>
    </row>
    <row r="59" spans="2:6" x14ac:dyDescent="0.25">
      <c r="B59" s="7" t="s">
        <v>34</v>
      </c>
      <c r="C59" s="42">
        <f>VLOOKUP(B59,Spring1st[#All],2,FALSE)</f>
        <v>0</v>
      </c>
      <c r="E59" s="7" t="s">
        <v>35</v>
      </c>
      <c r="F59" s="42">
        <f>VLOOKUP(E59,Summer2nd[#All],2,FALSE)</f>
        <v>0</v>
      </c>
    </row>
    <row r="60" spans="2:6" x14ac:dyDescent="0.25">
      <c r="B60" s="7" t="s">
        <v>35</v>
      </c>
      <c r="C60" s="42">
        <f>VLOOKUP(B60,Spring2nd[#All],2,FALSE)</f>
        <v>0</v>
      </c>
      <c r="E60" s="9"/>
      <c r="F60" s="46"/>
    </row>
    <row r="61" spans="2:6" x14ac:dyDescent="0.25">
      <c r="B61" s="7" t="s">
        <v>35</v>
      </c>
      <c r="C61" s="42">
        <f>VLOOKUP(B61,Spring2nd[#All],2,FALSE)</f>
        <v>0</v>
      </c>
      <c r="E61" s="9"/>
      <c r="F61" s="46"/>
    </row>
    <row r="62" spans="2:6" ht="15.75" thickBot="1" x14ac:dyDescent="0.3">
      <c r="B62" s="8" t="s">
        <v>36</v>
      </c>
      <c r="C62" s="45">
        <f>SUM(C56:C61)</f>
        <v>4</v>
      </c>
      <c r="E62" s="8" t="s">
        <v>36</v>
      </c>
      <c r="F62" s="45">
        <f>SUM(F56:F61)</f>
        <v>0</v>
      </c>
    </row>
    <row r="64" spans="2:6" ht="15.75" thickBot="1" x14ac:dyDescent="0.3"/>
    <row r="65" spans="2:6" ht="19.5" x14ac:dyDescent="0.4">
      <c r="B65" s="68" t="str">
        <f>CONCATENATE("Fall ",START_YEAR+2)</f>
        <v>Fall 2026</v>
      </c>
      <c r="C65" s="69"/>
      <c r="E65" s="68" t="str">
        <f>CONCATENATE("Winterim ",START_YEAR+3)</f>
        <v>Winterim 2027</v>
      </c>
      <c r="F65" s="69"/>
    </row>
    <row r="66" spans="2:6" ht="15.75" x14ac:dyDescent="0.25">
      <c r="B66" s="6" t="s">
        <v>29</v>
      </c>
      <c r="C66" s="39" t="s">
        <v>25</v>
      </c>
      <c r="E66" s="6" t="s">
        <v>29</v>
      </c>
      <c r="F66" s="39" t="s">
        <v>25</v>
      </c>
    </row>
    <row r="67" spans="2:6" x14ac:dyDescent="0.25">
      <c r="B67" s="11" t="s">
        <v>41</v>
      </c>
      <c r="C67" s="44">
        <f>VLOOKUP(B67,Core[#All],2,FALSE)</f>
        <v>4</v>
      </c>
      <c r="E67" s="10" t="s">
        <v>31</v>
      </c>
      <c r="F67" s="42">
        <f>VLOOKUP(E67,Winterim[#All],2,FALSE)</f>
        <v>0</v>
      </c>
    </row>
    <row r="68" spans="2:6" x14ac:dyDescent="0.25">
      <c r="B68" s="11" t="s">
        <v>42</v>
      </c>
      <c r="C68" s="44">
        <f>VLOOKUP(B68,Core[#All],2,FALSE)</f>
        <v>1</v>
      </c>
      <c r="E68" s="10" t="s">
        <v>31</v>
      </c>
      <c r="F68" s="42">
        <f>VLOOKUP(E68,Winterim[#All],2,FALSE)</f>
        <v>0</v>
      </c>
    </row>
    <row r="69" spans="2:6" x14ac:dyDescent="0.25">
      <c r="B69" s="7" t="s">
        <v>34</v>
      </c>
      <c r="C69" s="42">
        <f>VLOOKUP(B69,Fall1st[#All],2,FALSE)</f>
        <v>0</v>
      </c>
      <c r="E69" s="9"/>
      <c r="F69" s="46"/>
    </row>
    <row r="70" spans="2:6" x14ac:dyDescent="0.25">
      <c r="B70" s="7" t="s">
        <v>34</v>
      </c>
      <c r="C70" s="42">
        <f>VLOOKUP(B70,Fall1st[#All],2,FALSE)</f>
        <v>0</v>
      </c>
      <c r="E70" s="9"/>
      <c r="F70" s="46"/>
    </row>
    <row r="71" spans="2:6" x14ac:dyDescent="0.25">
      <c r="B71" s="7" t="s">
        <v>35</v>
      </c>
      <c r="C71" s="42">
        <f>VLOOKUP(B71,Fall2nd[#All],2,FALSE)</f>
        <v>0</v>
      </c>
      <c r="E71" s="9"/>
      <c r="F71" s="46"/>
    </row>
    <row r="72" spans="2:6" x14ac:dyDescent="0.25">
      <c r="B72" s="7" t="s">
        <v>35</v>
      </c>
      <c r="C72" s="42">
        <f>VLOOKUP(B72,Fall2nd[#All],2,FALSE)</f>
        <v>0</v>
      </c>
      <c r="E72" s="9"/>
      <c r="F72" s="46"/>
    </row>
    <row r="73" spans="2:6" ht="15.75" thickBot="1" x14ac:dyDescent="0.3">
      <c r="B73" s="8" t="s">
        <v>36</v>
      </c>
      <c r="C73" s="45">
        <f>SUM(C67:C72)</f>
        <v>5</v>
      </c>
      <c r="E73" s="8" t="s">
        <v>36</v>
      </c>
      <c r="F73" s="45">
        <f>SUM(F67:F72)</f>
        <v>0</v>
      </c>
    </row>
    <row r="75" spans="2:6" ht="15.75" thickBot="1" x14ac:dyDescent="0.3"/>
    <row r="76" spans="2:6" ht="19.5" x14ac:dyDescent="0.4">
      <c r="B76" s="68" t="str">
        <f>CONCATENATE("Spring ",START_YEAR+3)</f>
        <v>Spring 2027</v>
      </c>
      <c r="C76" s="69"/>
      <c r="E76" s="68" t="str">
        <f>CONCATENATE("Summer ",START_YEAR+3)</f>
        <v>Summer 2027</v>
      </c>
      <c r="F76" s="69"/>
    </row>
    <row r="77" spans="2:6" ht="15.75" x14ac:dyDescent="0.25">
      <c r="B77" s="6" t="s">
        <v>29</v>
      </c>
      <c r="C77" s="39" t="s">
        <v>25</v>
      </c>
      <c r="E77" s="6" t="s">
        <v>29</v>
      </c>
      <c r="F77" s="39" t="s">
        <v>25</v>
      </c>
    </row>
    <row r="78" spans="2:6" x14ac:dyDescent="0.25">
      <c r="B78" s="11" t="s">
        <v>31</v>
      </c>
      <c r="C78" s="44">
        <f>VLOOKUP(B78,Core[#All],2,FALSE)</f>
        <v>0</v>
      </c>
      <c r="E78" s="7" t="s">
        <v>34</v>
      </c>
      <c r="F78" s="42">
        <f>VLOOKUP(E78,Summer1st[#All],2,FALSE)</f>
        <v>0</v>
      </c>
    </row>
    <row r="79" spans="2:6" x14ac:dyDescent="0.25">
      <c r="B79" s="11" t="s">
        <v>31</v>
      </c>
      <c r="C79" s="44">
        <f>VLOOKUP(B79,Core[#All],2,FALSE)</f>
        <v>0</v>
      </c>
      <c r="E79" s="7" t="s">
        <v>34</v>
      </c>
      <c r="F79" s="42">
        <f>VLOOKUP(E79,Summer1st[#All],2,FALSE)</f>
        <v>0</v>
      </c>
    </row>
    <row r="80" spans="2:6" x14ac:dyDescent="0.25">
      <c r="B80" s="7" t="s">
        <v>34</v>
      </c>
      <c r="C80" s="42">
        <f>VLOOKUP(B80,Spring1st[#All],2,FALSE)</f>
        <v>0</v>
      </c>
      <c r="E80" s="7" t="s">
        <v>35</v>
      </c>
      <c r="F80" s="42">
        <f>VLOOKUP(E80,Summer2nd[#All],2,FALSE)</f>
        <v>0</v>
      </c>
    </row>
    <row r="81" spans="2:6" x14ac:dyDescent="0.25">
      <c r="B81" s="7" t="s">
        <v>34</v>
      </c>
      <c r="C81" s="42">
        <f>VLOOKUP(B81,Spring1st[#All],2,FALSE)</f>
        <v>0</v>
      </c>
      <c r="E81" s="7" t="s">
        <v>35</v>
      </c>
      <c r="F81" s="42">
        <f>VLOOKUP(E81,Summer2nd[#All],2,FALSE)</f>
        <v>0</v>
      </c>
    </row>
    <row r="82" spans="2:6" x14ac:dyDescent="0.25">
      <c r="B82" s="7" t="s">
        <v>35</v>
      </c>
      <c r="C82" s="42">
        <f>VLOOKUP(B82,Spring2nd[#All],2,FALSE)</f>
        <v>0</v>
      </c>
      <c r="E82" s="9"/>
      <c r="F82" s="46"/>
    </row>
    <row r="83" spans="2:6" x14ac:dyDescent="0.25">
      <c r="B83" s="7" t="s">
        <v>35</v>
      </c>
      <c r="C83" s="42">
        <f>VLOOKUP(B83,Spring2nd[#All],2,FALSE)</f>
        <v>0</v>
      </c>
      <c r="E83" s="9"/>
      <c r="F83" s="46"/>
    </row>
    <row r="84" spans="2:6" ht="15.75" thickBot="1" x14ac:dyDescent="0.3">
      <c r="B84" s="8" t="s">
        <v>36</v>
      </c>
      <c r="C84" s="45">
        <f>SUM(C78:C83)</f>
        <v>0</v>
      </c>
      <c r="E84" s="8" t="s">
        <v>36</v>
      </c>
      <c r="F84" s="45">
        <f>SUM(F78:F83)</f>
        <v>0</v>
      </c>
    </row>
    <row r="86" spans="2:6" ht="15.75" thickBot="1" x14ac:dyDescent="0.3"/>
    <row r="87" spans="2:6" ht="19.5" x14ac:dyDescent="0.4">
      <c r="B87" s="68" t="str">
        <f>CONCATENATE("Fall ",START_YEAR+3)</f>
        <v>Fall 2027</v>
      </c>
      <c r="C87" s="69"/>
      <c r="E87" s="68" t="str">
        <f>CONCATENATE("Winterim ",START_YEAR+4)</f>
        <v>Winterim 2028</v>
      </c>
      <c r="F87" s="69"/>
    </row>
    <row r="88" spans="2:6" ht="15.75" x14ac:dyDescent="0.25">
      <c r="B88" s="6" t="s">
        <v>29</v>
      </c>
      <c r="C88" s="39" t="s">
        <v>25</v>
      </c>
      <c r="E88" s="6" t="s">
        <v>29</v>
      </c>
      <c r="F88" s="39" t="s">
        <v>25</v>
      </c>
    </row>
    <row r="89" spans="2:6" x14ac:dyDescent="0.25">
      <c r="B89" s="11" t="s">
        <v>31</v>
      </c>
      <c r="C89" s="44">
        <f>VLOOKUP(B89,Core[#All],2,FALSE)</f>
        <v>0</v>
      </c>
      <c r="E89" s="10" t="s">
        <v>31</v>
      </c>
      <c r="F89" s="42">
        <f>VLOOKUP(E89,Winterim[#All],2,FALSE)</f>
        <v>0</v>
      </c>
    </row>
    <row r="90" spans="2:6" x14ac:dyDescent="0.25">
      <c r="B90" s="11" t="s">
        <v>31</v>
      </c>
      <c r="C90" s="44">
        <f>VLOOKUP(B90,Core[#All],2,FALSE)</f>
        <v>0</v>
      </c>
      <c r="E90" s="10" t="s">
        <v>31</v>
      </c>
      <c r="F90" s="42">
        <f>VLOOKUP(E90,Winterim[#All],2,FALSE)</f>
        <v>0</v>
      </c>
    </row>
    <row r="91" spans="2:6" x14ac:dyDescent="0.25">
      <c r="B91" s="7" t="s">
        <v>34</v>
      </c>
      <c r="C91" s="42">
        <f>VLOOKUP(B91,Fall1st[#All],2,FALSE)</f>
        <v>0</v>
      </c>
      <c r="E91" s="9"/>
      <c r="F91" s="46"/>
    </row>
    <row r="92" spans="2:6" x14ac:dyDescent="0.25">
      <c r="B92" s="7" t="s">
        <v>34</v>
      </c>
      <c r="C92" s="42">
        <f>VLOOKUP(B92,Fall1st[#All],2,FALSE)</f>
        <v>0</v>
      </c>
      <c r="E92" s="9"/>
      <c r="F92" s="46"/>
    </row>
    <row r="93" spans="2:6" x14ac:dyDescent="0.25">
      <c r="B93" s="7" t="s">
        <v>35</v>
      </c>
      <c r="C93" s="42">
        <f>VLOOKUP(B93,Fall2nd[#All],2,FALSE)</f>
        <v>0</v>
      </c>
      <c r="E93" s="9"/>
      <c r="F93" s="46"/>
    </row>
    <row r="94" spans="2:6" x14ac:dyDescent="0.25">
      <c r="B94" s="7" t="s">
        <v>35</v>
      </c>
      <c r="C94" s="42">
        <f>VLOOKUP(B94,Fall2nd[#All],2,FALSE)</f>
        <v>0</v>
      </c>
      <c r="E94" s="9"/>
      <c r="F94" s="46"/>
    </row>
    <row r="95" spans="2:6" ht="15.75" thickBot="1" x14ac:dyDescent="0.3">
      <c r="B95" s="8" t="s">
        <v>36</v>
      </c>
      <c r="C95" s="45">
        <f>SUM(C89:C94)</f>
        <v>0</v>
      </c>
      <c r="E95" s="8" t="s">
        <v>36</v>
      </c>
      <c r="F95" s="45">
        <f>SUM(F89:F94)</f>
        <v>0</v>
      </c>
    </row>
  </sheetData>
  <protectedRanges>
    <protectedRange algorithmName="SHA-512" hashValue="X5KlBQtH9SSyoh0IYHIrXqqhzdzC1NakNR9N7Ch6GyHcv5RwMazqsiufE/xMruqDfkHNJ4oZetdkoZOOGSjGmg==" saltValue="Pji2fEXLGBxiH7aohFoXGA==" spinCount="100000" sqref="A95:F96 A89:A94 A84:F88 A78:A83 A73:F77 A67:A72 A62:F66 A56:A61 A51:F55 A45:A50 A40:F44 F34:F37 F45:F50 F56:F61 F67:F72 F78:F83 F89:F94 F11:F14 C36:C39 C45:D50 C56:D61 C67:D72 C78:D83 C89:D94" name="Range1"/>
  </protectedRanges>
  <mergeCells count="18">
    <mergeCell ref="B65:C65"/>
    <mergeCell ref="E65:F65"/>
    <mergeCell ref="B76:C76"/>
    <mergeCell ref="E76:F76"/>
    <mergeCell ref="B87:C87"/>
    <mergeCell ref="E87:F87"/>
    <mergeCell ref="B32:C32"/>
    <mergeCell ref="E32:F32"/>
    <mergeCell ref="B43:C43"/>
    <mergeCell ref="E43:F43"/>
    <mergeCell ref="B54:C54"/>
    <mergeCell ref="E54:F54"/>
    <mergeCell ref="B2:F2"/>
    <mergeCell ref="E3:F4"/>
    <mergeCell ref="B9:C9"/>
    <mergeCell ref="E9:F9"/>
    <mergeCell ref="B21:C21"/>
    <mergeCell ref="E21:F21"/>
  </mergeCells>
  <conditionalFormatting sqref="D5:F5">
    <cfRule type="expression" dxfId="13" priority="3">
      <formula>$C$5&lt;26</formula>
    </cfRule>
    <cfRule type="expression" dxfId="12" priority="7">
      <formula>$C$5&gt;26</formula>
    </cfRule>
  </conditionalFormatting>
  <conditionalFormatting sqref="D6:F6">
    <cfRule type="expression" dxfId="11" priority="4">
      <formula>$C$6&lt;10</formula>
    </cfRule>
    <cfRule type="expression" dxfId="10" priority="5">
      <formula>$C$6&gt;10</formula>
    </cfRule>
  </conditionalFormatting>
  <conditionalFormatting sqref="D7:F7">
    <cfRule type="expression" dxfId="9" priority="2">
      <formula>$C$7&lt;36</formula>
    </cfRule>
    <cfRule type="expression" dxfId="8" priority="6">
      <formula>$C$7&gt;36</formula>
    </cfRule>
  </conditionalFormatting>
  <conditionalFormatting sqref="E3:F4">
    <cfRule type="containsText" dxfId="7" priority="1" operator="containsText" text="WARNING">
      <formula>NOT(ISERROR(SEARCH("WARNING",E3)))</formula>
    </cfRule>
  </conditionalFormatting>
  <pageMargins left="0.25" right="0.25" top="0.75" bottom="0.75" header="0.3" footer="0.3"/>
  <pageSetup scale="43" orientation="portrait" horizontalDpi="4294967293"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3B5A9441-51B5-474E-A158-65796FBCAE62}">
          <x14:formula1>
            <xm:f>Courses!$A$57:$A$68</xm:f>
          </x14:formula1>
          <xm:sqref>E36:E37 E80:E81 E58:E59 E13:E14</xm:sqref>
        </x14:dataValidation>
        <x14:dataValidation type="list" allowBlank="1" showInputMessage="1" showErrorMessage="1" xr:uid="{11DD92FD-0099-43BE-BC89-FB8DBEB29C17}">
          <x14:formula1>
            <xm:f>Courses!$A$43:$A$53</xm:f>
          </x14:formula1>
          <xm:sqref>E78:E79 E34:E35 E56:E57 E11:E12</xm:sqref>
        </x14:dataValidation>
        <x14:dataValidation type="list" allowBlank="1" showInputMessage="1" showErrorMessage="1" xr:uid="{3F23B3D7-28C2-45E9-90DE-708353449560}">
          <x14:formula1>
            <xm:f>Courses!$A$36:$A$39</xm:f>
          </x14:formula1>
          <xm:sqref>B82:B83 B60:B61 B38:B39 B16:B17</xm:sqref>
        </x14:dataValidation>
        <x14:dataValidation type="list" allowBlank="1" showInputMessage="1" showErrorMessage="1" xr:uid="{906E32CA-3385-4304-8211-7E233DFAB4DC}">
          <x14:formula1>
            <xm:f>Courses!$A$28:$A$32</xm:f>
          </x14:formula1>
          <xm:sqref>B80:B81 B58:B59 B36:B37 B14:B15</xm:sqref>
        </x14:dataValidation>
        <x14:dataValidation type="list" allowBlank="1" showInputMessage="1" showErrorMessage="1" xr:uid="{C11FCE53-3C33-426B-9C85-FFCE2369AFF7}">
          <x14:formula1>
            <xm:f>Courses!$A$17:$A$24</xm:f>
          </x14:formula1>
          <xm:sqref>E67:E68 E23:E24 E45:E46 E89:E90</xm:sqref>
        </x14:dataValidation>
        <x14:dataValidation type="list" allowBlank="1" showInputMessage="1" showErrorMessage="1" xr:uid="{447D0E51-4084-4070-B023-71ADFC9C40D3}">
          <x14:formula1>
            <xm:f>Courses!$A$9:$A$13</xm:f>
          </x14:formula1>
          <xm:sqref>B27:B28 B49:B50 B71:B72 B93:B94</xm:sqref>
        </x14:dataValidation>
        <x14:dataValidation type="list" allowBlank="1" showInputMessage="1" showErrorMessage="1" xr:uid="{E632FD24-61C4-4B94-B2EB-CE0A9F689EA3}">
          <x14:formula1>
            <xm:f>Courses!$A$2:$A$5</xm:f>
          </x14:formula1>
          <xm:sqref>B25:B26 B47:B48 B69:B70 B91:B92</xm:sqref>
        </x14:dataValidation>
        <x14:dataValidation type="list" allowBlank="1" showInputMessage="1" showErrorMessage="1" xr:uid="{D355B00A-682E-48D9-BFB4-F632F995EBFF}">
          <x14:formula1>
            <xm:f>Courses!$A$72:$A$82</xm:f>
          </x14:formula1>
          <xm:sqref>B11:B13 B89:B90 B67:B68 B45:B46 B23:B24 B78:B79 B56:B57 B34:B35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70E9-C68A-4CE6-8192-011561A6ECE7}">
  <sheetPr>
    <tabColor theme="7" tint="0.59999389629810485"/>
    <pageSetUpPr fitToPage="1"/>
  </sheetPr>
  <dimension ref="B1:I95"/>
  <sheetViews>
    <sheetView zoomScaleNormal="100" workbookViewId="0">
      <selection activeCell="C18" sqref="C18"/>
    </sheetView>
  </sheetViews>
  <sheetFormatPr defaultRowHeight="15" x14ac:dyDescent="0.25"/>
  <cols>
    <col min="1" max="1" width="3.5703125" customWidth="1"/>
    <col min="2" max="2" width="71.42578125" style="2" customWidth="1"/>
    <col min="3" max="3" width="7.85546875" style="40" customWidth="1"/>
    <col min="4" max="4" width="4.28515625" customWidth="1"/>
    <col min="5" max="5" width="71.42578125" customWidth="1"/>
    <col min="6" max="6" width="7.85546875" style="40" customWidth="1"/>
    <col min="7" max="7" width="3.5703125" customWidth="1"/>
    <col min="8" max="8" width="42.42578125" bestFit="1" customWidth="1"/>
    <col min="9" max="9" width="10.7109375" customWidth="1"/>
    <col min="10" max="10" width="10.28515625" customWidth="1"/>
  </cols>
  <sheetData>
    <row r="1" spans="2:9" ht="15.75" thickBot="1" x14ac:dyDescent="0.3"/>
    <row r="2" spans="2:9" ht="110.45" customHeight="1" thickBot="1" x14ac:dyDescent="0.5">
      <c r="B2" s="63" t="str">
        <f>_xlfn.CONCAT(YOUR_NAME,"'s Degree Plan",CHAR(10),DEGREE_TYPE," (36 Credits)")</f>
        <v>YOUR NAME HERE's Degree Plan
Select your emphasis (36 Credits)</v>
      </c>
      <c r="C2" s="64"/>
      <c r="D2" s="64"/>
      <c r="E2" s="64"/>
      <c r="F2" s="65"/>
    </row>
    <row r="3" spans="2:9" ht="43.5" customHeight="1" thickBot="1" x14ac:dyDescent="0.5">
      <c r="B3" s="5"/>
      <c r="C3" s="4"/>
      <c r="D3" s="4"/>
      <c r="E3" s="70" t="str">
        <f>IF(AND(DEGREE_TYPE="MBA in Healthcare Management",OR(ISNUMBER(SEARCH("Fall",Courses!E11)),ISNUMBER(SEARCH("Winterim",Courses!E18)),ISNUMBER(SEARCH("Winterim",Courses!E23)),ISNUMBER(SEARCH("Summer",Courses!E58)),ISNUMBER(SEARCH("Summer",Courses!E62)))),HCM_Elective_Warning,"")</f>
        <v/>
      </c>
      <c r="F3" s="70"/>
    </row>
    <row r="4" spans="2:9" ht="18.75" x14ac:dyDescent="0.4">
      <c r="B4" s="12" t="s">
        <v>24</v>
      </c>
      <c r="C4" s="47" t="s">
        <v>25</v>
      </c>
      <c r="E4" s="71"/>
      <c r="F4" s="71"/>
    </row>
    <row r="5" spans="2:9" ht="15.75" x14ac:dyDescent="0.25">
      <c r="B5" s="29" t="s">
        <v>26</v>
      </c>
      <c r="C5" s="41">
        <f>SUM(C11:C13,C23:C24,C34:C35,C45:C46,C56:C57,C67:C68,C78:C79,C89:C90)</f>
        <v>26</v>
      </c>
      <c r="D5" s="50" t="str">
        <f>IF(C5&gt;26,"NOTE: You've selected more core credits than you're required to take.","Please select 26 credits to meet this requirement.")</f>
        <v>Please select 26 credits to meet this requirement.</v>
      </c>
      <c r="E5" s="49"/>
      <c r="F5" s="4"/>
    </row>
    <row r="6" spans="2:9" ht="15.75" x14ac:dyDescent="0.25">
      <c r="B6" s="30" t="s">
        <v>27</v>
      </c>
      <c r="C6" s="42">
        <f>SUM(C14:C17,C25:C28,F29,C36:C39,F40,C47:C50,F51,C58:C61,F62,C69:C72,F73,C80:C83,F84,C91:C94,F95)</f>
        <v>0</v>
      </c>
      <c r="D6" s="50" t="str">
        <f>IF(C6&gt;10,"NOTE: You've selected more elective credits than you're required to take.","Please select at least 10 credits to meet this requirement.")</f>
        <v>Please select at least 10 credits to meet this requirement.</v>
      </c>
      <c r="E6" s="4"/>
      <c r="F6" s="4"/>
    </row>
    <row r="7" spans="2:9" ht="16.5" thickBot="1" x14ac:dyDescent="0.3">
      <c r="B7" s="31" t="s">
        <v>28</v>
      </c>
      <c r="C7" s="43">
        <f>SUM(C5:C6)</f>
        <v>26</v>
      </c>
      <c r="D7" s="50" t="str">
        <f>IF(C7&gt;36,"NOTE: You've selected more total credits than you're required to take.","Please select at least 36 credits to meet this requirement.")</f>
        <v>Please select at least 36 credits to meet this requirement.</v>
      </c>
      <c r="E7" s="4"/>
      <c r="F7" s="4"/>
    </row>
    <row r="8" spans="2:9" ht="23.25" thickBot="1" x14ac:dyDescent="0.5">
      <c r="B8" s="5"/>
      <c r="C8" s="4"/>
      <c r="D8" s="4"/>
      <c r="E8" s="4"/>
      <c r="F8" s="4"/>
    </row>
    <row r="9" spans="2:9" ht="19.5" x14ac:dyDescent="0.4">
      <c r="B9" s="66" t="str">
        <f>CONCATENATE("Summer ",START_YEAR)</f>
        <v>Summer 2024</v>
      </c>
      <c r="C9" s="67"/>
      <c r="E9" s="55"/>
      <c r="F9" s="55"/>
      <c r="H9" s="38"/>
      <c r="I9" s="3"/>
    </row>
    <row r="10" spans="2:9" ht="15.75" x14ac:dyDescent="0.25">
      <c r="B10" s="6" t="s">
        <v>29</v>
      </c>
      <c r="C10" s="39" t="s">
        <v>25</v>
      </c>
      <c r="E10" s="51"/>
      <c r="F10" s="52"/>
      <c r="H10" s="2"/>
      <c r="I10" s="3"/>
    </row>
    <row r="11" spans="2:9" ht="18" customHeight="1" x14ac:dyDescent="0.25">
      <c r="B11" s="11" t="s">
        <v>30</v>
      </c>
      <c r="C11" s="44">
        <f>VLOOKUP(B11,Core[#All],2,FALSE)</f>
        <v>1</v>
      </c>
      <c r="E11" s="53"/>
      <c r="H11" s="2"/>
      <c r="I11" s="3"/>
    </row>
    <row r="12" spans="2:9" x14ac:dyDescent="0.25">
      <c r="B12" s="11" t="s">
        <v>32</v>
      </c>
      <c r="C12" s="44">
        <f>VLOOKUP(B12,Core[#All],2,FALSE)</f>
        <v>2</v>
      </c>
      <c r="E12" s="53"/>
      <c r="H12" s="13"/>
      <c r="I12" s="14"/>
    </row>
    <row r="13" spans="2:9" x14ac:dyDescent="0.25">
      <c r="B13" s="11" t="s">
        <v>33</v>
      </c>
      <c r="C13" s="44">
        <f>VLOOKUP(B13,Core[#All],2,FALSE)</f>
        <v>2</v>
      </c>
      <c r="E13" s="53"/>
    </row>
    <row r="14" spans="2:9" x14ac:dyDescent="0.25">
      <c r="B14" s="7" t="s">
        <v>34</v>
      </c>
      <c r="C14" s="42">
        <f>VLOOKUP(B14,Summer1st[#All],2,FALSE)</f>
        <v>0</v>
      </c>
      <c r="E14" s="53"/>
    </row>
    <row r="15" spans="2:9" x14ac:dyDescent="0.25">
      <c r="B15" s="7" t="s">
        <v>34</v>
      </c>
      <c r="C15" s="42">
        <f>VLOOKUP(B15,Summer1st[#All],2,FALSE)</f>
        <v>0</v>
      </c>
      <c r="E15" s="2"/>
    </row>
    <row r="16" spans="2:9" x14ac:dyDescent="0.25">
      <c r="B16" s="7" t="s">
        <v>35</v>
      </c>
      <c r="C16" s="42">
        <f>VLOOKUP(B16,Summer2nd[#All],2,FALSE)</f>
        <v>0</v>
      </c>
      <c r="E16" s="2"/>
    </row>
    <row r="17" spans="2:8" x14ac:dyDescent="0.25">
      <c r="B17" s="7" t="s">
        <v>35</v>
      </c>
      <c r="C17" s="42">
        <f>VLOOKUP(B17,Summer2nd[#All],2,FALSE)</f>
        <v>0</v>
      </c>
      <c r="E17" s="2"/>
    </row>
    <row r="18" spans="2:8" ht="15.75" thickBot="1" x14ac:dyDescent="0.3">
      <c r="B18" s="8" t="s">
        <v>36</v>
      </c>
      <c r="C18" s="45">
        <f>SUM(C11:C17)</f>
        <v>5</v>
      </c>
      <c r="E18" s="13"/>
      <c r="F18" s="54"/>
    </row>
    <row r="20" spans="2:8" ht="15.75" thickBot="1" x14ac:dyDescent="0.3">
      <c r="H20" s="1"/>
    </row>
    <row r="21" spans="2:8" ht="19.5" x14ac:dyDescent="0.4">
      <c r="B21" s="68" t="str">
        <f>CONCATENATE("Fall ",START_YEAR)</f>
        <v>Fall 2024</v>
      </c>
      <c r="C21" s="69"/>
      <c r="E21" s="68" t="str">
        <f>CONCATENATE("Winterim ",START_YEAR+1)</f>
        <v>Winterim 2025</v>
      </c>
      <c r="F21" s="69"/>
    </row>
    <row r="22" spans="2:8" ht="15.75" x14ac:dyDescent="0.25">
      <c r="B22" s="6" t="s">
        <v>29</v>
      </c>
      <c r="C22" s="39" t="s">
        <v>25</v>
      </c>
      <c r="E22" s="6" t="s">
        <v>29</v>
      </c>
      <c r="F22" s="39" t="s">
        <v>25</v>
      </c>
    </row>
    <row r="23" spans="2:8" ht="30" x14ac:dyDescent="0.25">
      <c r="B23" s="11" t="s">
        <v>37</v>
      </c>
      <c r="C23" s="44">
        <f>VLOOKUP(B23,Core[#All],2,FALSE)</f>
        <v>4</v>
      </c>
      <c r="E23" s="10" t="s">
        <v>31</v>
      </c>
      <c r="F23" s="42">
        <f>VLOOKUP(E23,Winterim[#All],2,FALSE)</f>
        <v>0</v>
      </c>
    </row>
    <row r="24" spans="2:8" x14ac:dyDescent="0.25">
      <c r="B24" s="11" t="s">
        <v>31</v>
      </c>
      <c r="C24" s="44">
        <f>VLOOKUP(B24,Core[#All],2,FALSE)</f>
        <v>0</v>
      </c>
      <c r="E24" s="10" t="s">
        <v>31</v>
      </c>
      <c r="F24" s="42">
        <f>VLOOKUP(E24,Winterim[#All],2,FALSE)</f>
        <v>0</v>
      </c>
    </row>
    <row r="25" spans="2:8" x14ac:dyDescent="0.25">
      <c r="B25" s="7" t="s">
        <v>34</v>
      </c>
      <c r="C25" s="42">
        <f>VLOOKUP(B25,Fall1st[#All],2,FALSE)</f>
        <v>0</v>
      </c>
      <c r="E25" s="9"/>
      <c r="F25" s="46"/>
    </row>
    <row r="26" spans="2:8" x14ac:dyDescent="0.25">
      <c r="B26" s="7" t="s">
        <v>34</v>
      </c>
      <c r="C26" s="42">
        <f>VLOOKUP(B26,Fall1st[#All],2,FALSE)</f>
        <v>0</v>
      </c>
      <c r="E26" s="9"/>
      <c r="F26" s="46"/>
    </row>
    <row r="27" spans="2:8" x14ac:dyDescent="0.25">
      <c r="B27" s="7" t="s">
        <v>35</v>
      </c>
      <c r="C27" s="42">
        <f>VLOOKUP(B27,Fall2nd[#All],2,FALSE)</f>
        <v>0</v>
      </c>
      <c r="E27" s="9"/>
      <c r="F27" s="46"/>
    </row>
    <row r="28" spans="2:8" x14ac:dyDescent="0.25">
      <c r="B28" s="7" t="s">
        <v>35</v>
      </c>
      <c r="C28" s="42">
        <f>VLOOKUP(B28,Fall2nd[#All],2,FALSE)</f>
        <v>0</v>
      </c>
      <c r="E28" s="9"/>
      <c r="F28" s="46"/>
    </row>
    <row r="29" spans="2:8" ht="15.75" thickBot="1" x14ac:dyDescent="0.3">
      <c r="B29" s="8" t="s">
        <v>36</v>
      </c>
      <c r="C29" s="45">
        <f>SUM(C23:C28)</f>
        <v>4</v>
      </c>
      <c r="E29" s="8" t="s">
        <v>36</v>
      </c>
      <c r="F29" s="45">
        <f>SUM(F23:F28)</f>
        <v>0</v>
      </c>
    </row>
    <row r="31" spans="2:8" ht="15.75" thickBot="1" x14ac:dyDescent="0.3"/>
    <row r="32" spans="2:8" ht="19.5" x14ac:dyDescent="0.4">
      <c r="B32" s="68" t="str">
        <f>CONCATENATE("Spring ",START_YEAR+1)</f>
        <v>Spring 2025</v>
      </c>
      <c r="C32" s="69"/>
      <c r="E32" s="68" t="str">
        <f>CONCATENATE("Summer ",START_YEAR+1)</f>
        <v>Summer 2025</v>
      </c>
      <c r="F32" s="69"/>
    </row>
    <row r="33" spans="2:6" ht="15.75" x14ac:dyDescent="0.25">
      <c r="B33" s="6" t="s">
        <v>29</v>
      </c>
      <c r="C33" s="39" t="s">
        <v>25</v>
      </c>
      <c r="E33" s="6" t="s">
        <v>29</v>
      </c>
      <c r="F33" s="39" t="s">
        <v>25</v>
      </c>
    </row>
    <row r="34" spans="2:6" x14ac:dyDescent="0.25">
      <c r="B34" s="11" t="s">
        <v>38</v>
      </c>
      <c r="C34" s="44">
        <f>VLOOKUP(B34,Core[#All],2,FALSE)</f>
        <v>4</v>
      </c>
      <c r="E34" s="7" t="s">
        <v>34</v>
      </c>
      <c r="F34" s="42">
        <f>VLOOKUP(E34,Summer1st[#All],2,FALSE)</f>
        <v>0</v>
      </c>
    </row>
    <row r="35" spans="2:6" x14ac:dyDescent="0.25">
      <c r="B35" s="11" t="s">
        <v>31</v>
      </c>
      <c r="C35" s="44">
        <f>VLOOKUP(B35,Core[#All],2,FALSE)</f>
        <v>0</v>
      </c>
      <c r="E35" s="7" t="s">
        <v>34</v>
      </c>
      <c r="F35" s="42">
        <f>VLOOKUP(E35,Summer1st[#All],2,FALSE)</f>
        <v>0</v>
      </c>
    </row>
    <row r="36" spans="2:6" x14ac:dyDescent="0.25">
      <c r="B36" s="7" t="s">
        <v>34</v>
      </c>
      <c r="C36" s="42">
        <f>VLOOKUP(B36,Spring1st[#All],2,FALSE)</f>
        <v>0</v>
      </c>
      <c r="E36" s="7" t="s">
        <v>35</v>
      </c>
      <c r="F36" s="42">
        <f>VLOOKUP(E36,Summer2nd[#All],2,FALSE)</f>
        <v>0</v>
      </c>
    </row>
    <row r="37" spans="2:6" x14ac:dyDescent="0.25">
      <c r="B37" s="7" t="s">
        <v>34</v>
      </c>
      <c r="C37" s="42">
        <f>VLOOKUP(B37,Spring1st[#All],2,FALSE)</f>
        <v>0</v>
      </c>
      <c r="E37" s="7" t="s">
        <v>35</v>
      </c>
      <c r="F37" s="42">
        <f>VLOOKUP(E37,Summer2nd[#All],2,FALSE)</f>
        <v>0</v>
      </c>
    </row>
    <row r="38" spans="2:6" x14ac:dyDescent="0.25">
      <c r="B38" s="7" t="s">
        <v>35</v>
      </c>
      <c r="C38" s="42">
        <f>VLOOKUP(B38,Spring2nd[#All],2,FALSE)</f>
        <v>0</v>
      </c>
      <c r="E38" s="9"/>
      <c r="F38" s="46"/>
    </row>
    <row r="39" spans="2:6" x14ac:dyDescent="0.25">
      <c r="B39" s="7" t="s">
        <v>35</v>
      </c>
      <c r="C39" s="42">
        <f>VLOOKUP(B39,Spring2nd[#All],2,FALSE)</f>
        <v>0</v>
      </c>
      <c r="E39" s="9"/>
      <c r="F39" s="46"/>
    </row>
    <row r="40" spans="2:6" ht="15.75" thickBot="1" x14ac:dyDescent="0.3">
      <c r="B40" s="8" t="s">
        <v>36</v>
      </c>
      <c r="C40" s="45">
        <f>SUM(C34:C39)</f>
        <v>4</v>
      </c>
      <c r="E40" s="8" t="s">
        <v>36</v>
      </c>
      <c r="F40" s="45">
        <f>SUM(F34:F39)</f>
        <v>0</v>
      </c>
    </row>
    <row r="42" spans="2:6" ht="15.75" thickBot="1" x14ac:dyDescent="0.3"/>
    <row r="43" spans="2:6" ht="19.5" x14ac:dyDescent="0.4">
      <c r="B43" s="68" t="str">
        <f>CONCATENATE("Fall ",START_YEAR+1)</f>
        <v>Fall 2025</v>
      </c>
      <c r="C43" s="69"/>
      <c r="E43" s="68" t="str">
        <f>CONCATENATE("Winterim ",START_YEAR+2)</f>
        <v>Winterim 2026</v>
      </c>
      <c r="F43" s="69"/>
    </row>
    <row r="44" spans="2:6" ht="15.75" x14ac:dyDescent="0.25">
      <c r="B44" s="6" t="s">
        <v>29</v>
      </c>
      <c r="C44" s="39" t="s">
        <v>25</v>
      </c>
      <c r="E44" s="6" t="s">
        <v>29</v>
      </c>
      <c r="F44" s="39" t="s">
        <v>25</v>
      </c>
    </row>
    <row r="45" spans="2:6" x14ac:dyDescent="0.25">
      <c r="B45" s="11" t="s">
        <v>39</v>
      </c>
      <c r="C45" s="44">
        <f>VLOOKUP(B45,Core[#All],2,FALSE)</f>
        <v>4</v>
      </c>
      <c r="E45" s="10" t="s">
        <v>31</v>
      </c>
      <c r="F45" s="42">
        <f>VLOOKUP(E45,Winterim[#All],2,FALSE)</f>
        <v>0</v>
      </c>
    </row>
    <row r="46" spans="2:6" x14ac:dyDescent="0.25">
      <c r="B46" s="11" t="s">
        <v>31</v>
      </c>
      <c r="C46" s="44">
        <f>VLOOKUP(B46,Core[#All],2,FALSE)</f>
        <v>0</v>
      </c>
      <c r="E46" s="10" t="s">
        <v>31</v>
      </c>
      <c r="F46" s="42">
        <f>VLOOKUP(E46,Winterim[#All],2,FALSE)</f>
        <v>0</v>
      </c>
    </row>
    <row r="47" spans="2:6" x14ac:dyDescent="0.25">
      <c r="B47" s="7" t="s">
        <v>34</v>
      </c>
      <c r="C47" s="42">
        <f>VLOOKUP(B47,Fall1st[#All],2,FALSE)</f>
        <v>0</v>
      </c>
      <c r="E47" s="9"/>
      <c r="F47" s="46"/>
    </row>
    <row r="48" spans="2:6" x14ac:dyDescent="0.25">
      <c r="B48" s="7" t="s">
        <v>34</v>
      </c>
      <c r="C48" s="42">
        <f>VLOOKUP(B48,Fall1st[#All],2,FALSE)</f>
        <v>0</v>
      </c>
      <c r="E48" s="9"/>
      <c r="F48" s="46"/>
    </row>
    <row r="49" spans="2:6" x14ac:dyDescent="0.25">
      <c r="B49" s="7" t="s">
        <v>35</v>
      </c>
      <c r="C49" s="42">
        <f>VLOOKUP(B49,Fall2nd[#All],2,FALSE)</f>
        <v>0</v>
      </c>
      <c r="E49" s="9"/>
      <c r="F49" s="46"/>
    </row>
    <row r="50" spans="2:6" x14ac:dyDescent="0.25">
      <c r="B50" s="7" t="s">
        <v>35</v>
      </c>
      <c r="C50" s="42">
        <f>VLOOKUP(B50,Fall2nd[#All],2,FALSE)</f>
        <v>0</v>
      </c>
      <c r="E50" s="9"/>
      <c r="F50" s="46"/>
    </row>
    <row r="51" spans="2:6" ht="15.75" thickBot="1" x14ac:dyDescent="0.3">
      <c r="B51" s="8" t="s">
        <v>36</v>
      </c>
      <c r="C51" s="45">
        <f>SUM(C45:C50)</f>
        <v>4</v>
      </c>
      <c r="E51" s="8" t="s">
        <v>36</v>
      </c>
      <c r="F51" s="45">
        <f>SUM(F45:F50)</f>
        <v>0</v>
      </c>
    </row>
    <row r="53" spans="2:6" ht="15.75" thickBot="1" x14ac:dyDescent="0.3"/>
    <row r="54" spans="2:6" ht="19.5" x14ac:dyDescent="0.4">
      <c r="B54" s="68" t="str">
        <f>CONCATENATE("Spring ",START_YEAR+2)</f>
        <v>Spring 2026</v>
      </c>
      <c r="C54" s="69"/>
      <c r="E54" s="68" t="str">
        <f>CONCATENATE("Summer ",START_YEAR+2)</f>
        <v>Summer 2026</v>
      </c>
      <c r="F54" s="69"/>
    </row>
    <row r="55" spans="2:6" ht="15.75" x14ac:dyDescent="0.25">
      <c r="B55" s="6" t="s">
        <v>29</v>
      </c>
      <c r="C55" s="39" t="s">
        <v>25</v>
      </c>
      <c r="E55" s="6" t="s">
        <v>29</v>
      </c>
      <c r="F55" s="39" t="s">
        <v>25</v>
      </c>
    </row>
    <row r="56" spans="2:6" x14ac:dyDescent="0.25">
      <c r="B56" s="11" t="s">
        <v>40</v>
      </c>
      <c r="C56" s="44">
        <f>VLOOKUP(B56,Core[#All],2,FALSE)</f>
        <v>4</v>
      </c>
      <c r="E56" s="7" t="s">
        <v>34</v>
      </c>
      <c r="F56" s="42">
        <f>VLOOKUP(E56,Summer1st[#All],2,FALSE)</f>
        <v>0</v>
      </c>
    </row>
    <row r="57" spans="2:6" x14ac:dyDescent="0.25">
      <c r="B57" s="11" t="s">
        <v>31</v>
      </c>
      <c r="C57" s="44">
        <f>VLOOKUP(B57,Core[#All],2,FALSE)</f>
        <v>0</v>
      </c>
      <c r="E57" s="7" t="s">
        <v>34</v>
      </c>
      <c r="F57" s="42">
        <f>VLOOKUP(E57,Summer1st[#All],2,FALSE)</f>
        <v>0</v>
      </c>
    </row>
    <row r="58" spans="2:6" x14ac:dyDescent="0.25">
      <c r="B58" s="7" t="s">
        <v>34</v>
      </c>
      <c r="C58" s="42">
        <f>VLOOKUP(B58,Spring1st[#All],2,FALSE)</f>
        <v>0</v>
      </c>
      <c r="E58" s="7" t="s">
        <v>35</v>
      </c>
      <c r="F58" s="42">
        <f>VLOOKUP(E58,Summer2nd[#All],2,FALSE)</f>
        <v>0</v>
      </c>
    </row>
    <row r="59" spans="2:6" x14ac:dyDescent="0.25">
      <c r="B59" s="7" t="s">
        <v>34</v>
      </c>
      <c r="C59" s="42">
        <f>VLOOKUP(B59,Spring1st[#All],2,FALSE)</f>
        <v>0</v>
      </c>
      <c r="E59" s="7" t="s">
        <v>35</v>
      </c>
      <c r="F59" s="42">
        <f>VLOOKUP(E59,Summer2nd[#All],2,FALSE)</f>
        <v>0</v>
      </c>
    </row>
    <row r="60" spans="2:6" x14ac:dyDescent="0.25">
      <c r="B60" s="7" t="s">
        <v>35</v>
      </c>
      <c r="C60" s="42">
        <f>VLOOKUP(B60,Spring2nd[#All],2,FALSE)</f>
        <v>0</v>
      </c>
      <c r="E60" s="9"/>
      <c r="F60" s="46"/>
    </row>
    <row r="61" spans="2:6" x14ac:dyDescent="0.25">
      <c r="B61" s="7" t="s">
        <v>35</v>
      </c>
      <c r="C61" s="42">
        <f>VLOOKUP(B61,Spring2nd[#All],2,FALSE)</f>
        <v>0</v>
      </c>
      <c r="E61" s="9"/>
      <c r="F61" s="46"/>
    </row>
    <row r="62" spans="2:6" ht="15.75" thickBot="1" x14ac:dyDescent="0.3">
      <c r="B62" s="8" t="s">
        <v>36</v>
      </c>
      <c r="C62" s="45">
        <f>SUM(C56:C61)</f>
        <v>4</v>
      </c>
      <c r="E62" s="8" t="s">
        <v>36</v>
      </c>
      <c r="F62" s="45">
        <f>SUM(F56:F61)</f>
        <v>0</v>
      </c>
    </row>
    <row r="64" spans="2:6" ht="15.75" thickBot="1" x14ac:dyDescent="0.3"/>
    <row r="65" spans="2:6" ht="19.5" x14ac:dyDescent="0.4">
      <c r="B65" s="68" t="str">
        <f>CONCATENATE("Fall ",START_YEAR+2)</f>
        <v>Fall 2026</v>
      </c>
      <c r="C65" s="69"/>
      <c r="E65" s="68" t="str">
        <f>CONCATENATE("Winterim ",START_YEAR+3)</f>
        <v>Winterim 2027</v>
      </c>
      <c r="F65" s="69"/>
    </row>
    <row r="66" spans="2:6" ht="15.75" x14ac:dyDescent="0.25">
      <c r="B66" s="6" t="s">
        <v>29</v>
      </c>
      <c r="C66" s="39" t="s">
        <v>25</v>
      </c>
      <c r="E66" s="6" t="s">
        <v>29</v>
      </c>
      <c r="F66" s="39" t="s">
        <v>25</v>
      </c>
    </row>
    <row r="67" spans="2:6" x14ac:dyDescent="0.25">
      <c r="B67" s="11" t="s">
        <v>41</v>
      </c>
      <c r="C67" s="44">
        <f>VLOOKUP(B67,Core[#All],2,FALSE)</f>
        <v>4</v>
      </c>
      <c r="E67" s="10" t="s">
        <v>31</v>
      </c>
      <c r="F67" s="42">
        <f>VLOOKUP(E67,Winterim[#All],2,FALSE)</f>
        <v>0</v>
      </c>
    </row>
    <row r="68" spans="2:6" x14ac:dyDescent="0.25">
      <c r="B68" s="11" t="s">
        <v>42</v>
      </c>
      <c r="C68" s="44">
        <f>VLOOKUP(B68,Core[#All],2,FALSE)</f>
        <v>1</v>
      </c>
      <c r="E68" s="10" t="s">
        <v>31</v>
      </c>
      <c r="F68" s="42">
        <f>VLOOKUP(E68,Winterim[#All],2,FALSE)</f>
        <v>0</v>
      </c>
    </row>
    <row r="69" spans="2:6" x14ac:dyDescent="0.25">
      <c r="B69" s="7" t="s">
        <v>34</v>
      </c>
      <c r="C69" s="42">
        <f>VLOOKUP(B69,Fall1st[#All],2,FALSE)</f>
        <v>0</v>
      </c>
      <c r="E69" s="9"/>
      <c r="F69" s="46"/>
    </row>
    <row r="70" spans="2:6" x14ac:dyDescent="0.25">
      <c r="B70" s="7" t="s">
        <v>34</v>
      </c>
      <c r="C70" s="42">
        <f>VLOOKUP(B70,Fall1st[#All],2,FALSE)</f>
        <v>0</v>
      </c>
      <c r="E70" s="9"/>
      <c r="F70" s="46"/>
    </row>
    <row r="71" spans="2:6" x14ac:dyDescent="0.25">
      <c r="B71" s="7" t="s">
        <v>35</v>
      </c>
      <c r="C71" s="42">
        <f>VLOOKUP(B71,Fall2nd[#All],2,FALSE)</f>
        <v>0</v>
      </c>
      <c r="E71" s="9"/>
      <c r="F71" s="46"/>
    </row>
    <row r="72" spans="2:6" x14ac:dyDescent="0.25">
      <c r="B72" s="7" t="s">
        <v>35</v>
      </c>
      <c r="C72" s="42">
        <f>VLOOKUP(B72,Fall2nd[#All],2,FALSE)</f>
        <v>0</v>
      </c>
      <c r="E72" s="9"/>
      <c r="F72" s="46"/>
    </row>
    <row r="73" spans="2:6" ht="15.75" thickBot="1" x14ac:dyDescent="0.3">
      <c r="B73" s="8" t="s">
        <v>36</v>
      </c>
      <c r="C73" s="45">
        <f>SUM(C67:C72)</f>
        <v>5</v>
      </c>
      <c r="E73" s="8" t="s">
        <v>36</v>
      </c>
      <c r="F73" s="45">
        <f>SUM(F67:F72)</f>
        <v>0</v>
      </c>
    </row>
    <row r="75" spans="2:6" ht="15.75" thickBot="1" x14ac:dyDescent="0.3"/>
    <row r="76" spans="2:6" ht="19.5" x14ac:dyDescent="0.4">
      <c r="B76" s="68" t="str">
        <f>CONCATENATE("Spring ",START_YEAR+3)</f>
        <v>Spring 2027</v>
      </c>
      <c r="C76" s="69"/>
      <c r="E76" s="68" t="str">
        <f>CONCATENATE("Summer ",START_YEAR+3)</f>
        <v>Summer 2027</v>
      </c>
      <c r="F76" s="69"/>
    </row>
    <row r="77" spans="2:6" ht="15.75" x14ac:dyDescent="0.25">
      <c r="B77" s="6" t="s">
        <v>29</v>
      </c>
      <c r="C77" s="39" t="s">
        <v>25</v>
      </c>
      <c r="E77" s="6" t="s">
        <v>29</v>
      </c>
      <c r="F77" s="39" t="s">
        <v>25</v>
      </c>
    </row>
    <row r="78" spans="2:6" x14ac:dyDescent="0.25">
      <c r="B78" s="11" t="s">
        <v>31</v>
      </c>
      <c r="C78" s="44">
        <f>VLOOKUP(B78,Core[#All],2,FALSE)</f>
        <v>0</v>
      </c>
      <c r="E78" s="7" t="s">
        <v>34</v>
      </c>
      <c r="F78" s="42">
        <f>VLOOKUP(E78,Summer1st[#All],2,FALSE)</f>
        <v>0</v>
      </c>
    </row>
    <row r="79" spans="2:6" x14ac:dyDescent="0.25">
      <c r="B79" s="11" t="s">
        <v>31</v>
      </c>
      <c r="C79" s="44">
        <f>VLOOKUP(B79,Core[#All],2,FALSE)</f>
        <v>0</v>
      </c>
      <c r="E79" s="7" t="s">
        <v>34</v>
      </c>
      <c r="F79" s="42">
        <f>VLOOKUP(E79,Summer1st[#All],2,FALSE)</f>
        <v>0</v>
      </c>
    </row>
    <row r="80" spans="2:6" x14ac:dyDescent="0.25">
      <c r="B80" s="7" t="s">
        <v>34</v>
      </c>
      <c r="C80" s="42">
        <f>VLOOKUP(B80,Spring1st[#All],2,FALSE)</f>
        <v>0</v>
      </c>
      <c r="E80" s="7" t="s">
        <v>35</v>
      </c>
      <c r="F80" s="42">
        <f>VLOOKUP(E80,Summer2nd[#All],2,FALSE)</f>
        <v>0</v>
      </c>
    </row>
    <row r="81" spans="2:6" x14ac:dyDescent="0.25">
      <c r="B81" s="7" t="s">
        <v>34</v>
      </c>
      <c r="C81" s="42">
        <f>VLOOKUP(B81,Spring1st[#All],2,FALSE)</f>
        <v>0</v>
      </c>
      <c r="E81" s="7" t="s">
        <v>35</v>
      </c>
      <c r="F81" s="42">
        <f>VLOOKUP(E81,Summer2nd[#All],2,FALSE)</f>
        <v>0</v>
      </c>
    </row>
    <row r="82" spans="2:6" x14ac:dyDescent="0.25">
      <c r="B82" s="7" t="s">
        <v>35</v>
      </c>
      <c r="C82" s="42">
        <f>VLOOKUP(B82,Spring2nd[#All],2,FALSE)</f>
        <v>0</v>
      </c>
      <c r="E82" s="9"/>
      <c r="F82" s="46"/>
    </row>
    <row r="83" spans="2:6" x14ac:dyDescent="0.25">
      <c r="B83" s="7" t="s">
        <v>35</v>
      </c>
      <c r="C83" s="42">
        <f>VLOOKUP(B83,Spring2nd[#All],2,FALSE)</f>
        <v>0</v>
      </c>
      <c r="E83" s="9"/>
      <c r="F83" s="46"/>
    </row>
    <row r="84" spans="2:6" ht="15.75" thickBot="1" x14ac:dyDescent="0.3">
      <c r="B84" s="8" t="s">
        <v>36</v>
      </c>
      <c r="C84" s="45">
        <f>SUM(C78:C83)</f>
        <v>0</v>
      </c>
      <c r="E84" s="8" t="s">
        <v>36</v>
      </c>
      <c r="F84" s="45">
        <f>SUM(F78:F83)</f>
        <v>0</v>
      </c>
    </row>
    <row r="86" spans="2:6" ht="15.75" thickBot="1" x14ac:dyDescent="0.3"/>
    <row r="87" spans="2:6" ht="19.5" x14ac:dyDescent="0.4">
      <c r="B87" s="68" t="str">
        <f>CONCATENATE("Fall ",START_YEAR+3)</f>
        <v>Fall 2027</v>
      </c>
      <c r="C87" s="69"/>
      <c r="E87" s="68" t="str">
        <f>CONCATENATE("Winterim ",START_YEAR+4)</f>
        <v>Winterim 2028</v>
      </c>
      <c r="F87" s="69"/>
    </row>
    <row r="88" spans="2:6" ht="15.75" x14ac:dyDescent="0.25">
      <c r="B88" s="6" t="s">
        <v>29</v>
      </c>
      <c r="C88" s="39" t="s">
        <v>25</v>
      </c>
      <c r="E88" s="6" t="s">
        <v>29</v>
      </c>
      <c r="F88" s="39" t="s">
        <v>25</v>
      </c>
    </row>
    <row r="89" spans="2:6" x14ac:dyDescent="0.25">
      <c r="B89" s="11" t="s">
        <v>31</v>
      </c>
      <c r="C89" s="44">
        <f>VLOOKUP(B89,Core[#All],2,FALSE)</f>
        <v>0</v>
      </c>
      <c r="E89" s="10" t="s">
        <v>31</v>
      </c>
      <c r="F89" s="42">
        <f>VLOOKUP(E89,Winterim[#All],2,FALSE)</f>
        <v>0</v>
      </c>
    </row>
    <row r="90" spans="2:6" x14ac:dyDescent="0.25">
      <c r="B90" s="11" t="s">
        <v>31</v>
      </c>
      <c r="C90" s="44">
        <f>VLOOKUP(B90,Core[#All],2,FALSE)</f>
        <v>0</v>
      </c>
      <c r="E90" s="10" t="s">
        <v>31</v>
      </c>
      <c r="F90" s="42">
        <f>VLOOKUP(E90,Winterim[#All],2,FALSE)</f>
        <v>0</v>
      </c>
    </row>
    <row r="91" spans="2:6" x14ac:dyDescent="0.25">
      <c r="B91" s="7" t="s">
        <v>34</v>
      </c>
      <c r="C91" s="42">
        <f>VLOOKUP(B91,Fall1st[#All],2,FALSE)</f>
        <v>0</v>
      </c>
      <c r="E91" s="9"/>
      <c r="F91" s="46"/>
    </row>
    <row r="92" spans="2:6" x14ac:dyDescent="0.25">
      <c r="B92" s="7" t="s">
        <v>34</v>
      </c>
      <c r="C92" s="42">
        <f>VLOOKUP(B92,Fall1st[#All],2,FALSE)</f>
        <v>0</v>
      </c>
      <c r="E92" s="9"/>
      <c r="F92" s="46"/>
    </row>
    <row r="93" spans="2:6" x14ac:dyDescent="0.25">
      <c r="B93" s="7" t="s">
        <v>35</v>
      </c>
      <c r="C93" s="42">
        <f>VLOOKUP(B93,Fall2nd[#All],2,FALSE)</f>
        <v>0</v>
      </c>
      <c r="E93" s="9"/>
      <c r="F93" s="46"/>
    </row>
    <row r="94" spans="2:6" x14ac:dyDescent="0.25">
      <c r="B94" s="7" t="s">
        <v>35</v>
      </c>
      <c r="C94" s="42">
        <f>VLOOKUP(B94,Fall2nd[#All],2,FALSE)</f>
        <v>0</v>
      </c>
      <c r="E94" s="9"/>
      <c r="F94" s="46"/>
    </row>
    <row r="95" spans="2:6" ht="15.75" thickBot="1" x14ac:dyDescent="0.3">
      <c r="B95" s="8" t="s">
        <v>36</v>
      </c>
      <c r="C95" s="45">
        <f>SUM(C89:C94)</f>
        <v>0</v>
      </c>
      <c r="E95" s="8" t="s">
        <v>36</v>
      </c>
      <c r="F95" s="45">
        <f>SUM(F89:F94)</f>
        <v>0</v>
      </c>
    </row>
  </sheetData>
  <protectedRanges>
    <protectedRange algorithmName="SHA-512" hashValue="X5KlBQtH9SSyoh0IYHIrXqqhzdzC1NakNR9N7Ch6GyHcv5RwMazqsiufE/xMruqDfkHNJ4oZetdkoZOOGSjGmg==" saltValue="Pji2fEXLGBxiH7aohFoXGA==" spinCount="100000" sqref="A95:F96 A89:A94 A84:F88 A78:A83 A73:F77 A67:A72 A62:F66 A56:A61 A51:F55 A45:A50 A40:F44 F34:F37 F45:F50 F56:F61 F67:F72 F78:F83 F89:F94 F11:F14 C36:C39 C45:D50 C56:D61 C67:D72 C78:D83 C89:D94 C14:C17" name="Range1"/>
  </protectedRanges>
  <mergeCells count="17">
    <mergeCell ref="B65:C65"/>
    <mergeCell ref="E65:F65"/>
    <mergeCell ref="B76:C76"/>
    <mergeCell ref="E76:F76"/>
    <mergeCell ref="B87:C87"/>
    <mergeCell ref="E87:F87"/>
    <mergeCell ref="B32:C32"/>
    <mergeCell ref="E32:F32"/>
    <mergeCell ref="B43:C43"/>
    <mergeCell ref="E43:F43"/>
    <mergeCell ref="B54:C54"/>
    <mergeCell ref="E54:F54"/>
    <mergeCell ref="B2:F2"/>
    <mergeCell ref="E3:F4"/>
    <mergeCell ref="B9:C9"/>
    <mergeCell ref="B21:C21"/>
    <mergeCell ref="E21:F21"/>
  </mergeCells>
  <conditionalFormatting sqref="D5:F5">
    <cfRule type="expression" dxfId="6" priority="3">
      <formula>$C$5&lt;26</formula>
    </cfRule>
    <cfRule type="expression" dxfId="5" priority="7">
      <formula>$C$5&gt;26</formula>
    </cfRule>
  </conditionalFormatting>
  <conditionalFormatting sqref="D6:F6">
    <cfRule type="expression" dxfId="4" priority="4">
      <formula>$C$6&lt;10</formula>
    </cfRule>
    <cfRule type="expression" dxfId="3" priority="5">
      <formula>$C$6&gt;10</formula>
    </cfRule>
  </conditionalFormatting>
  <conditionalFormatting sqref="D7:F7">
    <cfRule type="expression" dxfId="2" priority="2">
      <formula>$C$7&lt;36</formula>
    </cfRule>
    <cfRule type="expression" dxfId="1" priority="6">
      <formula>$C$7&gt;36</formula>
    </cfRule>
  </conditionalFormatting>
  <conditionalFormatting sqref="E3:F4">
    <cfRule type="containsText" dxfId="0" priority="1" operator="containsText" text="WARNING">
      <formula>NOT(ISERROR(SEARCH("WARNING",E3)))</formula>
    </cfRule>
  </conditionalFormatting>
  <pageMargins left="0.25" right="0.25" top="0.75" bottom="0.75" header="0.3" footer="0.3"/>
  <pageSetup scale="43" orientation="portrait" horizontalDpi="4294967293"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8691E3E-DE4E-426C-AEA1-934BDA040772}">
          <x14:formula1>
            <xm:f>Courses!$A$72:$A$82</xm:f>
          </x14:formula1>
          <xm:sqref>B11:B13 B89:B90 B67:B68 B45:B46 B23:B24 B78:B79 B56:B57 B34:B35</xm:sqref>
        </x14:dataValidation>
        <x14:dataValidation type="list" allowBlank="1" showInputMessage="1" showErrorMessage="1" xr:uid="{FA3861C5-0832-486B-895B-AA98BAA6A94A}">
          <x14:formula1>
            <xm:f>Courses!$A$2:$A$5</xm:f>
          </x14:formula1>
          <xm:sqref>B25:B26 B47:B48 B69:B70 B91:B92</xm:sqref>
        </x14:dataValidation>
        <x14:dataValidation type="list" allowBlank="1" showInputMessage="1" showErrorMessage="1" xr:uid="{B84A1BB2-0E18-4A0C-9FA9-BD941B5DA3AE}">
          <x14:formula1>
            <xm:f>Courses!$A$9:$A$13</xm:f>
          </x14:formula1>
          <xm:sqref>B27:B28 B49:B50 B71:B72 B93:B94</xm:sqref>
        </x14:dataValidation>
        <x14:dataValidation type="list" allowBlank="1" showInputMessage="1" showErrorMessage="1" xr:uid="{31FE1ECB-AF0A-449D-BC40-C8F36D9533CF}">
          <x14:formula1>
            <xm:f>Courses!$A$17:$A$24</xm:f>
          </x14:formula1>
          <xm:sqref>E67:E68 E23:E24 E45:E46 E89:E90</xm:sqref>
        </x14:dataValidation>
        <x14:dataValidation type="list" allowBlank="1" showInputMessage="1" showErrorMessage="1" xr:uid="{69E07805-CF2D-4BE0-B871-852AA7F5066E}">
          <x14:formula1>
            <xm:f>Courses!$A$28:$A$32</xm:f>
          </x14:formula1>
          <xm:sqref>B80:B81 B58:B59 B36:B37</xm:sqref>
        </x14:dataValidation>
        <x14:dataValidation type="list" allowBlank="1" showInputMessage="1" showErrorMessage="1" xr:uid="{EEB3D4FF-D786-4E89-85D4-D685F3583DC7}">
          <x14:formula1>
            <xm:f>Courses!$A$36:$A$39</xm:f>
          </x14:formula1>
          <xm:sqref>B82:B83 B60:B61 B38:B39</xm:sqref>
        </x14:dataValidation>
        <x14:dataValidation type="list" allowBlank="1" showInputMessage="1" showErrorMessage="1" xr:uid="{EFD45B63-83FE-4E45-92D4-7F72ED072996}">
          <x14:formula1>
            <xm:f>Courses!$A$43:$A$53</xm:f>
          </x14:formula1>
          <xm:sqref>E78:E79 E34:E35 E56:E57 B14:B15</xm:sqref>
        </x14:dataValidation>
        <x14:dataValidation type="list" allowBlank="1" showInputMessage="1" showErrorMessage="1" xr:uid="{7355CC74-42DD-4C5C-B1CF-E601BA49007B}">
          <x14:formula1>
            <xm:f>Courses!$A$57:$A$68</xm:f>
          </x14:formula1>
          <xm:sqref>E36:E37 E80:E81 E58:E59 B16:B17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B3B9F-F59A-432F-9085-B7217CBD758A}">
  <sheetPr codeName="Sheet4"/>
  <dimension ref="A1:E88"/>
  <sheetViews>
    <sheetView workbookViewId="0">
      <selection activeCell="G7" sqref="G7"/>
    </sheetView>
  </sheetViews>
  <sheetFormatPr defaultRowHeight="15" x14ac:dyDescent="0.25"/>
  <cols>
    <col min="1" max="1" width="70.28515625" bestFit="1" customWidth="1"/>
    <col min="2" max="2" width="8.7109375" customWidth="1"/>
    <col min="3" max="3" width="14.140625" bestFit="1" customWidth="1"/>
    <col min="4" max="4" width="14.5703125" bestFit="1" customWidth="1"/>
    <col min="5" max="5" width="18.140625" bestFit="1" customWidth="1"/>
    <col min="7" max="7" width="67.5703125" bestFit="1" customWidth="1"/>
  </cols>
  <sheetData>
    <row r="1" spans="1:5" x14ac:dyDescent="0.25">
      <c r="A1" t="s">
        <v>43</v>
      </c>
      <c r="B1" t="s">
        <v>25</v>
      </c>
      <c r="C1" t="s">
        <v>44</v>
      </c>
      <c r="D1" t="s">
        <v>45</v>
      </c>
      <c r="E1" t="s">
        <v>46</v>
      </c>
    </row>
    <row r="2" spans="1:5" x14ac:dyDescent="0.25">
      <c r="A2" t="s">
        <v>34</v>
      </c>
      <c r="B2">
        <v>0</v>
      </c>
      <c r="E2" t="str">
        <f>IF(START_TERM="Fall",IF(OR(Fall1st[[#This Row],[Fall 1st 7 wks]]='Fall Start Degree Plan'!$B$14,Fall1st[[#This Row],[Fall 1st 7 wks]]='Fall Start Degree Plan'!$B$15),'Fall Start Degree Plan'!$B$9,IF(OR(Fall1st[[#This Row],[Fall 1st 7 wks]]='Fall Start Degree Plan'!$B$36,Fall1st[[#This Row],[Fall 1st 7 wks]]='Fall Start Degree Plan'!$B$37),'Fall Start Degree Plan'!$B$32,IF(OR(Fall1st[[#This Row],[Fall 1st 7 wks]]='Fall Start Degree Plan'!$B$58,Fall1st[[#This Row],[Fall 1st 7 wks]]='Fall Start Degree Plan'!$B$59),'Fall Start Degree Plan'!$B$54,IF(OR(Fall1st[[#This Row],[Fall 1st 7 wks]]='Fall Start Degree Plan'!$B$80,Fall1st[[#This Row],[Fall 1st 7 wks]]='Fall Start Degree Plan'!$B$81),'Fall Start Degree Plan'!$B$76,"No")))),IF(START_TERM="Spring",IF(OR(Fall1st[[#This Row],[Fall 1st 7 wks]]='Spring Start Degree Plan'!$B$25,Fall1st[[#This Row],[Fall 1st 7 wks]]='Spring Start Degree Plan'!$B$26),'Spring Start Degree Plan'!$B$21,IF(OR(Fall1st[[#This Row],[Fall 1st 7 wks]]='Spring Start Degree Plan'!$B$47,Fall1st[[#This Row],[Fall 1st 7 wks]]='Spring Start Degree Plan'!$B$48),'Spring Start Degree Plan'!$B$43,IF(OR(Fall1st[[#This Row],[Fall 1st 7 wks]]='Spring Start Degree Plan'!$B$69,Fall1st[[#This Row],[Fall 1st 7 wks]]='Spring Start Degree Plan'!$B$70),'Spring Start Degree Plan'!$B$65,IF(OR(Fall1st[[#This Row],[Fall 1st 7 wks]]='Spring Start Degree Plan'!$B$91,Fall1st[[#This Row],[Fall 1st 7 wks]]='Spring Start Degree Plan'!$B$92),'Spring Start Degree Plan'!$B$87,"No")))),IF(START_TERM="Summer",IF(OR(Fall1st[[#This Row],[Fall 1st 7 wks]]='Summer Start Degree Plan'!$B$25,Fall1st[[#This Row],[Fall 1st 7 wks]]='Summer Start Degree Plan'!$B$26),'Summer Start Degree Plan'!$B$21,IF(OR(Fall1st[[#This Row],[Fall 1st 7 wks]]='Summer Start Degree Plan'!$B$47,Fall1st[[#This Row],[Fall 1st 7 wks]]='Summer Start Degree Plan'!$B$48),'Summer Start Degree Plan'!$B$43,IF(OR(Fall1st[[#This Row],[Fall 1st 7 wks]]='Summer Start Degree Plan'!$B$69,Fall1st[[#This Row],[Fall 1st 7 wks]]='Summer Start Degree Plan'!$B$70),'Summer Start Degree Plan'!$B$65,IF(OR(Fall1st[[#This Row],[Fall 1st 7 wks]]='Summer Start Degree Plan'!$B$91,Fall1st[[#This Row],[Fall 1st 7 wks]]='Summer Start Degree Plan'!$B$92),'Summer Start Degree Plan'!$B$87,"No")))),"N/A")))</f>
        <v>Fall 2024</v>
      </c>
    </row>
    <row r="3" spans="1:5" x14ac:dyDescent="0.25">
      <c r="A3" t="s">
        <v>47</v>
      </c>
      <c r="B3">
        <v>1.5</v>
      </c>
      <c r="C3" t="s">
        <v>48</v>
      </c>
      <c r="D3" t="s">
        <v>49</v>
      </c>
      <c r="E3" t="str">
        <f>IF(START_TERM="Fall",IF(OR(Fall1st[[#This Row],[Fall 1st 7 wks]]='Fall Start Degree Plan'!$B$14,Fall1st[[#This Row],[Fall 1st 7 wks]]='Fall Start Degree Plan'!$B$15),'Fall Start Degree Plan'!$B$9,IF(OR(Fall1st[[#This Row],[Fall 1st 7 wks]]='Fall Start Degree Plan'!$B$36,Fall1st[[#This Row],[Fall 1st 7 wks]]='Fall Start Degree Plan'!$B$37),'Fall Start Degree Plan'!$B$32,IF(OR(Fall1st[[#This Row],[Fall 1st 7 wks]]='Fall Start Degree Plan'!$B$58,Fall1st[[#This Row],[Fall 1st 7 wks]]='Fall Start Degree Plan'!$B$59),'Fall Start Degree Plan'!$B$54,IF(OR(Fall1st[[#This Row],[Fall 1st 7 wks]]='Fall Start Degree Plan'!$B$80,Fall1st[[#This Row],[Fall 1st 7 wks]]='Fall Start Degree Plan'!$B$81),'Fall Start Degree Plan'!$B$76,"No")))),IF(START_TERM="Spring",IF(OR(Fall1st[[#This Row],[Fall 1st 7 wks]]='Spring Start Degree Plan'!$B$25,Fall1st[[#This Row],[Fall 1st 7 wks]]='Spring Start Degree Plan'!$B$26),'Spring Start Degree Plan'!$B$21,IF(OR(Fall1st[[#This Row],[Fall 1st 7 wks]]='Spring Start Degree Plan'!$B$47,Fall1st[[#This Row],[Fall 1st 7 wks]]='Spring Start Degree Plan'!$B$48),'Spring Start Degree Plan'!$B$43,IF(OR(Fall1st[[#This Row],[Fall 1st 7 wks]]='Spring Start Degree Plan'!$B$69,Fall1st[[#This Row],[Fall 1st 7 wks]]='Spring Start Degree Plan'!$B$70),'Spring Start Degree Plan'!$B$65,IF(OR(Fall1st[[#This Row],[Fall 1st 7 wks]]='Spring Start Degree Plan'!$B$91,Fall1st[[#This Row],[Fall 1st 7 wks]]='Spring Start Degree Plan'!$B$92),'Spring Start Degree Plan'!$B$87,"No")))),IF(START_TERM="Summer",IF(OR(Fall1st[[#This Row],[Fall 1st 7 wks]]='Summer Start Degree Plan'!$B$25,Fall1st[[#This Row],[Fall 1st 7 wks]]='Summer Start Degree Plan'!$B$26),'Summer Start Degree Plan'!$B$21,IF(OR(Fall1st[[#This Row],[Fall 1st 7 wks]]='Summer Start Degree Plan'!$B$47,Fall1st[[#This Row],[Fall 1st 7 wks]]='Summer Start Degree Plan'!$B$48),'Summer Start Degree Plan'!$B$43,IF(OR(Fall1st[[#This Row],[Fall 1st 7 wks]]='Summer Start Degree Plan'!$B$69,Fall1st[[#This Row],[Fall 1st 7 wks]]='Summer Start Degree Plan'!$B$70),'Summer Start Degree Plan'!$B$65,IF(OR(Fall1st[[#This Row],[Fall 1st 7 wks]]='Summer Start Degree Plan'!$B$91,Fall1st[[#This Row],[Fall 1st 7 wks]]='Summer Start Degree Plan'!$B$92),'Summer Start Degree Plan'!$B$87,"No")))),"N/A")))</f>
        <v>No</v>
      </c>
    </row>
    <row r="4" spans="1:5" x14ac:dyDescent="0.25">
      <c r="A4" t="s">
        <v>50</v>
      </c>
      <c r="B4">
        <v>1.5</v>
      </c>
      <c r="C4" t="s">
        <v>48</v>
      </c>
      <c r="D4" t="s">
        <v>49</v>
      </c>
      <c r="E4" t="str">
        <f>IF(START_TERM="Fall",IF(OR(Fall1st[[#This Row],[Fall 1st 7 wks]]='Fall Start Degree Plan'!$B$14,Fall1st[[#This Row],[Fall 1st 7 wks]]='Fall Start Degree Plan'!$B$15),'Fall Start Degree Plan'!$B$9,IF(OR(Fall1st[[#This Row],[Fall 1st 7 wks]]='Fall Start Degree Plan'!$B$36,Fall1st[[#This Row],[Fall 1st 7 wks]]='Fall Start Degree Plan'!$B$37),'Fall Start Degree Plan'!$B$32,IF(OR(Fall1st[[#This Row],[Fall 1st 7 wks]]='Fall Start Degree Plan'!$B$58,Fall1st[[#This Row],[Fall 1st 7 wks]]='Fall Start Degree Plan'!$B$59),'Fall Start Degree Plan'!$B$54,IF(OR(Fall1st[[#This Row],[Fall 1st 7 wks]]='Fall Start Degree Plan'!$B$80,Fall1st[[#This Row],[Fall 1st 7 wks]]='Fall Start Degree Plan'!$B$81),'Fall Start Degree Plan'!$B$76,"No")))),IF(START_TERM="Spring",IF(OR(Fall1st[[#This Row],[Fall 1st 7 wks]]='Spring Start Degree Plan'!$B$25,Fall1st[[#This Row],[Fall 1st 7 wks]]='Spring Start Degree Plan'!$B$26),'Spring Start Degree Plan'!$B$21,IF(OR(Fall1st[[#This Row],[Fall 1st 7 wks]]='Spring Start Degree Plan'!$B$47,Fall1st[[#This Row],[Fall 1st 7 wks]]='Spring Start Degree Plan'!$B$48),'Spring Start Degree Plan'!$B$43,IF(OR(Fall1st[[#This Row],[Fall 1st 7 wks]]='Spring Start Degree Plan'!$B$69,Fall1st[[#This Row],[Fall 1st 7 wks]]='Spring Start Degree Plan'!$B$70),'Spring Start Degree Plan'!$B$65,IF(OR(Fall1st[[#This Row],[Fall 1st 7 wks]]='Spring Start Degree Plan'!$B$91,Fall1st[[#This Row],[Fall 1st 7 wks]]='Spring Start Degree Plan'!$B$92),'Spring Start Degree Plan'!$B$87,"No")))),IF(START_TERM="Summer",IF(OR(Fall1st[[#This Row],[Fall 1st 7 wks]]='Summer Start Degree Plan'!$B$25,Fall1st[[#This Row],[Fall 1st 7 wks]]='Summer Start Degree Plan'!$B$26),'Summer Start Degree Plan'!$B$21,IF(OR(Fall1st[[#This Row],[Fall 1st 7 wks]]='Summer Start Degree Plan'!$B$47,Fall1st[[#This Row],[Fall 1st 7 wks]]='Summer Start Degree Plan'!$B$48),'Summer Start Degree Plan'!$B$43,IF(OR(Fall1st[[#This Row],[Fall 1st 7 wks]]='Summer Start Degree Plan'!$B$69,Fall1st[[#This Row],[Fall 1st 7 wks]]='Summer Start Degree Plan'!$B$70),'Summer Start Degree Plan'!$B$65,IF(OR(Fall1st[[#This Row],[Fall 1st 7 wks]]='Summer Start Degree Plan'!$B$91,Fall1st[[#This Row],[Fall 1st 7 wks]]='Summer Start Degree Plan'!$B$92),'Summer Start Degree Plan'!$B$87,"No")))),"N/A")))</f>
        <v>No</v>
      </c>
    </row>
    <row r="5" spans="1:5" x14ac:dyDescent="0.25">
      <c r="A5" t="s">
        <v>51</v>
      </c>
      <c r="B5">
        <v>0</v>
      </c>
      <c r="E5" t="str">
        <f>IF(START_TERM="Fall",IF(OR(Fall1st[[#This Row],[Fall 1st 7 wks]]='Fall Start Degree Plan'!$B$14,Fall1st[[#This Row],[Fall 1st 7 wks]]='Fall Start Degree Plan'!$B$15),'Fall Start Degree Plan'!$B$9,IF(OR(Fall1st[[#This Row],[Fall 1st 7 wks]]='Fall Start Degree Plan'!$B$36,Fall1st[[#This Row],[Fall 1st 7 wks]]='Fall Start Degree Plan'!$B$37),'Fall Start Degree Plan'!$B$32,IF(OR(Fall1st[[#This Row],[Fall 1st 7 wks]]='Fall Start Degree Plan'!$B$58,Fall1st[[#This Row],[Fall 1st 7 wks]]='Fall Start Degree Plan'!$B$59),'Fall Start Degree Plan'!$B$54,IF(OR(Fall1st[[#This Row],[Fall 1st 7 wks]]='Fall Start Degree Plan'!$B$80,Fall1st[[#This Row],[Fall 1st 7 wks]]='Fall Start Degree Plan'!$B$81),'Fall Start Degree Plan'!$B$76,"No")))),IF(START_TERM="Spring",IF(OR(Fall1st[[#This Row],[Fall 1st 7 wks]]='Spring Start Degree Plan'!$B$25,Fall1st[[#This Row],[Fall 1st 7 wks]]='Spring Start Degree Plan'!$B$26),'Spring Start Degree Plan'!$B$21,IF(OR(Fall1st[[#This Row],[Fall 1st 7 wks]]='Spring Start Degree Plan'!$B$47,Fall1st[[#This Row],[Fall 1st 7 wks]]='Spring Start Degree Plan'!$B$48),'Spring Start Degree Plan'!$B$43,IF(OR(Fall1st[[#This Row],[Fall 1st 7 wks]]='Spring Start Degree Plan'!$B$69,Fall1st[[#This Row],[Fall 1st 7 wks]]='Spring Start Degree Plan'!$B$70),'Spring Start Degree Plan'!$B$65,IF(OR(Fall1st[[#This Row],[Fall 1st 7 wks]]='Spring Start Degree Plan'!$B$91,Fall1st[[#This Row],[Fall 1st 7 wks]]='Spring Start Degree Plan'!$B$92),'Spring Start Degree Plan'!$B$87,"No")))),IF(START_TERM="Summer",IF(OR(Fall1st[[#This Row],[Fall 1st 7 wks]]='Summer Start Degree Plan'!$B$25,Fall1st[[#This Row],[Fall 1st 7 wks]]='Summer Start Degree Plan'!$B$26),'Summer Start Degree Plan'!$B$21,IF(OR(Fall1st[[#This Row],[Fall 1st 7 wks]]='Summer Start Degree Plan'!$B$47,Fall1st[[#This Row],[Fall 1st 7 wks]]='Summer Start Degree Plan'!$B$48),'Summer Start Degree Plan'!$B$43,IF(OR(Fall1st[[#This Row],[Fall 1st 7 wks]]='Summer Start Degree Plan'!$B$69,Fall1st[[#This Row],[Fall 1st 7 wks]]='Summer Start Degree Plan'!$B$70),'Summer Start Degree Plan'!$B$65,IF(OR(Fall1st[[#This Row],[Fall 1st 7 wks]]='Summer Start Degree Plan'!$B$91,Fall1st[[#This Row],[Fall 1st 7 wks]]='Summer Start Degree Plan'!$B$92),'Summer Start Degree Plan'!$B$87,"No")))),"N/A")))</f>
        <v>No</v>
      </c>
    </row>
    <row r="8" spans="1:5" x14ac:dyDescent="0.25">
      <c r="A8" t="s">
        <v>52</v>
      </c>
      <c r="B8" t="s">
        <v>25</v>
      </c>
      <c r="C8" t="s">
        <v>44</v>
      </c>
      <c r="D8" t="s">
        <v>45</v>
      </c>
      <c r="E8" t="s">
        <v>46</v>
      </c>
    </row>
    <row r="9" spans="1:5" x14ac:dyDescent="0.25">
      <c r="A9" t="s">
        <v>35</v>
      </c>
      <c r="B9">
        <v>0</v>
      </c>
      <c r="E9" t="str">
        <f>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f>
        <v>Fall 2024</v>
      </c>
    </row>
    <row r="10" spans="1:5" x14ac:dyDescent="0.25">
      <c r="A10" t="s">
        <v>53</v>
      </c>
      <c r="B10">
        <v>2</v>
      </c>
      <c r="C10" t="s">
        <v>48</v>
      </c>
      <c r="D10" t="s">
        <v>49</v>
      </c>
      <c r="E10" t="str">
        <f>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f>
        <v>No</v>
      </c>
    </row>
    <row r="11" spans="1:5" x14ac:dyDescent="0.25">
      <c r="A11" t="s">
        <v>54</v>
      </c>
      <c r="B11">
        <v>1.5</v>
      </c>
      <c r="C11" t="s">
        <v>48</v>
      </c>
      <c r="D11" t="s">
        <v>55</v>
      </c>
      <c r="E11" t="str">
        <f>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f>
        <v>No</v>
      </c>
    </row>
    <row r="12" spans="1:5" x14ac:dyDescent="0.25">
      <c r="A12" t="s">
        <v>56</v>
      </c>
      <c r="B12">
        <v>2</v>
      </c>
      <c r="C12" t="s">
        <v>48</v>
      </c>
      <c r="D12" t="s">
        <v>49</v>
      </c>
      <c r="E12" t="str">
        <f>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f>
        <v>No</v>
      </c>
    </row>
    <row r="13" spans="1:5" x14ac:dyDescent="0.25">
      <c r="A13" t="s">
        <v>51</v>
      </c>
      <c r="B13">
        <v>0</v>
      </c>
      <c r="E13" t="str">
        <f>IF(START_TERM="Fall",IF(OR(Fall2nd[[#This Row],[Fall 2nd 7 wks]]='Fall Start Degree Plan'!$B$16,Fall2nd[[#This Row],[Fall 2nd 7 wks]]='Fall Start Degree Plan'!$B$17),'Fall Start Degree Plan'!$B$9,IF(OR(Fall2nd[[#This Row],[Fall 2nd 7 wks]]='Fall Start Degree Plan'!$B$38,Fall2nd[[#This Row],[Fall 2nd 7 wks]]='Fall Start Degree Plan'!$B$39),'Fall Start Degree Plan'!$B$32,IF(OR(Fall2nd[[#This Row],[Fall 2nd 7 wks]]='Fall Start Degree Plan'!$B$61,Fall2nd[[#This Row],[Fall 2nd 7 wks]]='Fall Start Degree Plan'!$B$62),'Fall Start Degree Plan'!$B$54,IF(OR(Fall2nd[[#This Row],[Fall 2nd 7 wks]]='Fall Start Degree Plan'!$B$83,Fall2nd[[#This Row],[Fall 2nd 7 wks]]='Fall Start Degree Plan'!$B$84),'Fall Start Degree Plan'!$B$76,"No")))),IF(START_TERM="Spring",IF(OR(Fall2nd[[#This Row],[Fall 2nd 7 wks]]='Spring Start Degree Plan'!$B$27,Fall2nd[[#This Row],[Fall 2nd 7 wks]]='Spring Start Degree Plan'!$B$28),'Spring Start Degree Plan'!$B$21,IF(OR(Fall2nd[[#This Row],[Fall 2nd 7 wks]]='Spring Start Degree Plan'!$B$49,Fall2nd[[#This Row],[Fall 2nd 7 wks]]='Spring Start Degree Plan'!$B$50),'Spring Start Degree Plan'!$B$43,IF(OR(Fall2nd[[#This Row],[Fall 2nd 7 wks]]='Spring Start Degree Plan'!$B$71,Fall2nd[[#This Row],[Fall 2nd 7 wks]]='Spring Start Degree Plan'!$B$72),'Spring Start Degree Plan'!$B$65,IF(OR(Fall2nd[[#This Row],[Fall 2nd 7 wks]]='Spring Start Degree Plan'!$B$93,Fall2nd[[#This Row],[Fall 2nd 7 wks]]='Spring Start Degree Plan'!$B$94),'Spring Start Degree Plan'!$B$87,"No")))),IF(START_TERM="Summer",IF(OR(Fall2nd[[#This Row],[Fall 2nd 7 wks]]='Summer Start Degree Plan'!$B$27,Fall2nd[[#This Row],[Fall 2nd 7 wks]]='Summer Start Degree Plan'!$B$28),'Summer Start Degree Plan'!$B$21,IF(OR(Fall2nd[[#This Row],[Fall 2nd 7 wks]]='Summer Start Degree Plan'!$B$49,Fall2nd[[#This Row],[Fall 2nd 7 wks]]='Summer Start Degree Plan'!$B$50),'Summer Start Degree Plan'!$B$43,IF(OR(Fall2nd[[#This Row],[Fall 2nd 7 wks]]='Summer Start Degree Plan'!$B$71,Fall2nd[[#This Row],[Fall 2nd 7 wks]]='Summer Start Degree Plan'!$B$72),'Summer Start Degree Plan'!$B$65,IF(OR(Fall2nd[[#This Row],[Fall 2nd 7 wks]]='Summer Start Degree Plan'!$B$93,Fall2nd[[#This Row],[Fall 2nd 7 wks]]='Summer Start Degree Plan'!$B$94),'Summer Start Degree Plan'!$B$87,"No")))),"N/A")))</f>
        <v>No</v>
      </c>
    </row>
    <row r="16" spans="1:5" s="1" customFormat="1" x14ac:dyDescent="0.25">
      <c r="A16" s="1" t="s">
        <v>57</v>
      </c>
      <c r="B16" s="1" t="s">
        <v>25</v>
      </c>
      <c r="C16" s="1" t="s">
        <v>44</v>
      </c>
      <c r="D16" s="1" t="s">
        <v>45</v>
      </c>
      <c r="E16" s="1" t="s">
        <v>46</v>
      </c>
    </row>
    <row r="17" spans="1:5" s="1" customFormat="1" x14ac:dyDescent="0.25">
      <c r="A17" t="s">
        <v>31</v>
      </c>
      <c r="B17">
        <v>0</v>
      </c>
      <c r="E17"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Winterim 2025</v>
      </c>
    </row>
    <row r="18" spans="1:5" x14ac:dyDescent="0.25">
      <c r="A18" t="s">
        <v>58</v>
      </c>
      <c r="B18">
        <v>1</v>
      </c>
      <c r="C18" t="s">
        <v>48</v>
      </c>
      <c r="D18" t="s">
        <v>55</v>
      </c>
      <c r="E18"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19" spans="1:5" x14ac:dyDescent="0.25">
      <c r="A19" t="s">
        <v>59</v>
      </c>
      <c r="B19">
        <v>1</v>
      </c>
      <c r="C19" t="s">
        <v>48</v>
      </c>
      <c r="D19" t="s">
        <v>49</v>
      </c>
      <c r="E19"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0" spans="1:5" x14ac:dyDescent="0.25">
      <c r="A20" t="s">
        <v>60</v>
      </c>
      <c r="B20">
        <v>1</v>
      </c>
      <c r="C20" t="s">
        <v>48</v>
      </c>
      <c r="D20" t="s">
        <v>49</v>
      </c>
      <c r="E20"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1" spans="1:5" x14ac:dyDescent="0.25">
      <c r="A21" t="s">
        <v>61</v>
      </c>
      <c r="B21">
        <v>1</v>
      </c>
      <c r="C21" t="s">
        <v>48</v>
      </c>
      <c r="D21" t="s">
        <v>49</v>
      </c>
      <c r="E21"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2" spans="1:5" x14ac:dyDescent="0.25">
      <c r="A22" t="s">
        <v>62</v>
      </c>
      <c r="B22">
        <v>1</v>
      </c>
      <c r="C22" t="s">
        <v>48</v>
      </c>
      <c r="D22" t="s">
        <v>49</v>
      </c>
      <c r="E22"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3" spans="1:5" x14ac:dyDescent="0.25">
      <c r="A23" t="s">
        <v>63</v>
      </c>
      <c r="B23">
        <v>1</v>
      </c>
      <c r="C23" t="s">
        <v>48</v>
      </c>
      <c r="D23" t="s">
        <v>55</v>
      </c>
      <c r="E23"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4" spans="1:5" x14ac:dyDescent="0.25">
      <c r="A24" t="s">
        <v>51</v>
      </c>
      <c r="B24">
        <v>0</v>
      </c>
      <c r="E24" t="str">
        <f>IF(START_TERM="Fall",IF(OR(Winterim[[#This Row],[Winterim]]='Fall Start Degree Plan'!$E$11,Winterim[[#This Row],[Winterim]]='Fall Start Degree Plan'!$E$12),'Fall Start Degree Plan'!$E$9,IF(OR(Winterim[[#This Row],[Winterim]]='Fall Start Degree Plan'!$E$34,Winterim[[#This Row],[Winterim]]='Fall Start Degree Plan'!$E$35),'Fall Start Degree Plan'!$E$32,IF(OR(Winterim[[#This Row],[Winterim]]='Fall Start Degree Plan'!$E$56,Winterim[[#This Row],[Winterim]]='Fall Start Degree Plan'!$E$57),'Fall Start Degree Plan'!$E$54,IF(OR(Winterim[[#This Row],[Winterim]]='Fall Start Degree Plan'!$E$78,Winterim[[#This Row],[Winterim]]='Fall Start Degree Plan'!$E$79),'Fall Start Degree Plan'!$E$76,"No")))),IF(START_TERM="Spring",IF(OR(Winterim[[#This Row],[Winterim]]='Spring Start Degree Plan'!$E$23,Winterim[[#This Row],[Winterim]]='Spring Start Degree Plan'!$E$24),'Spring Start Degree Plan'!$E$21,IF(OR(Winterim[[#This Row],[Winterim]]='Spring Start Degree Plan'!$E$45,Winterim[[#This Row],[Winterim]]='Spring Start Degree Plan'!$E$46),'Spring Start Degree Plan'!$E$43,IF(OR(Winterim[[#This Row],[Winterim]]='Spring Start Degree Plan'!$E$67,Winterim[[#This Row],[Winterim]]='Spring Start Degree Plan'!$E$68),'Spring Start Degree Plan'!$E$65,IF(OR(Winterim[[#This Row],[Winterim]]='Spring Start Degree Plan'!$E$89,Winterim[[#This Row],[Winterim]]='Spring Start Degree Plan'!$E$90),'Spring Start Degree Plan'!$E$87,"No")))),IF(START_TERM="Summer",IF(OR(Winterim[[#This Row],[Winterim]]='Summer Start Degree Plan'!$E$23,Winterim[[#This Row],[Winterim]]='Summer Start Degree Plan'!$E$24),'Summer Start Degree Plan'!$E$21,IF(OR(Winterim[[#This Row],[Winterim]]='Summer Start Degree Plan'!$E$45,Winterim[[#This Row],[Winterim]]='Summer Start Degree Plan'!$E$46),'Summer Start Degree Plan'!$E$43,IF(OR(Winterim[[#This Row],[Winterim]]='Summer Start Degree Plan'!$E$67,Winterim[[#This Row],[Winterim]]='Summer Start Degree Plan'!$E$68),'Summer Start Degree Plan'!$E$65,IF(OR(Winterim[[#This Row],[Winterim]]='Summer Start Degree Plan'!$E$89,Winterim[[#This Row],[Winterim]]='Summer Start Degree Plan'!$E$90),'Summer Start Degree Plan'!$E$87,"No")))),"N/A")))</f>
        <v>No</v>
      </c>
    </row>
    <row r="27" spans="1:5" x14ac:dyDescent="0.25">
      <c r="A27" s="1" t="s">
        <v>64</v>
      </c>
      <c r="B27" s="1" t="s">
        <v>25</v>
      </c>
      <c r="C27" s="1" t="s">
        <v>44</v>
      </c>
      <c r="D27" s="1" t="s">
        <v>45</v>
      </c>
      <c r="E27" s="1" t="s">
        <v>46</v>
      </c>
    </row>
    <row r="28" spans="1:5" x14ac:dyDescent="0.25">
      <c r="A28" t="s">
        <v>34</v>
      </c>
      <c r="B28">
        <v>0</v>
      </c>
      <c r="E28" t="str">
        <f>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f>
        <v>Spring 2024</v>
      </c>
    </row>
    <row r="29" spans="1:5" x14ac:dyDescent="0.25">
      <c r="A29" t="s">
        <v>65</v>
      </c>
      <c r="B29">
        <v>1.5</v>
      </c>
      <c r="C29" t="s">
        <v>48</v>
      </c>
      <c r="D29" t="s">
        <v>49</v>
      </c>
      <c r="E29" t="str">
        <f>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f>
        <v>No</v>
      </c>
    </row>
    <row r="30" spans="1:5" x14ac:dyDescent="0.25">
      <c r="A30" t="s">
        <v>66</v>
      </c>
      <c r="B30">
        <v>2</v>
      </c>
      <c r="C30" t="s">
        <v>48</v>
      </c>
      <c r="D30" t="s">
        <v>49</v>
      </c>
      <c r="E30" t="str">
        <f>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f>
        <v>No</v>
      </c>
    </row>
    <row r="31" spans="1:5" x14ac:dyDescent="0.25">
      <c r="A31" t="s">
        <v>67</v>
      </c>
      <c r="B31">
        <v>2</v>
      </c>
      <c r="C31" t="s">
        <v>48</v>
      </c>
      <c r="D31" t="s">
        <v>49</v>
      </c>
      <c r="E31" t="str">
        <f>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f>
        <v>No</v>
      </c>
    </row>
    <row r="32" spans="1:5" x14ac:dyDescent="0.25">
      <c r="A32" t="s">
        <v>51</v>
      </c>
      <c r="B32">
        <v>0</v>
      </c>
      <c r="E32" t="str">
        <f>IF(START_TERM="Fall",IF(OR(Spring1st[[#This Row],[Spring 1st 7 wks]]='Fall Start Degree Plan'!$B$25,Spring1st[[#This Row],[Spring 1st 7 wks]]='Fall Start Degree Plan'!$B$26),'Fall Start Degree Plan'!$B$21,IF(OR(Spring1st[[#This Row],[Spring 1st 7 wks]]='Fall Start Degree Plan'!$B$47,Spring1st[[#This Row],[Spring 1st 7 wks]]='Fall Start Degree Plan'!$B$48),'Fall Start Degree Plan'!$B$43,IF(OR(Spring1st[[#This Row],[Spring 1st 7 wks]]='Fall Start Degree Plan'!$B$69,Spring1st[[#This Row],[Spring 1st 7 wks]]='Fall Start Degree Plan'!$B$70),'Fall Start Degree Plan'!$B$65,IF(OR(Spring1st[[#This Row],[Spring 1st 7 wks]]='Fall Start Degree Plan'!$B$91,Spring1st[[#This Row],[Spring 1st 7 wks]]='Fall Start Degree Plan'!$B$92),'Fall Start Degree Plan'!$B$87,"No")))),IF(START_TERM="Spring",IF(OR(Spring1st[[#This Row],[Spring 1st 7 wks]]='Spring Start Degree Plan'!$B$14,Spring1st[[#This Row],[Spring 1st 7 wks]]='Spring Start Degree Plan'!$B$15),'Spring Start Degree Plan'!$B$9,IF(OR(Spring1st[[#This Row],[Spring 1st 7 wks]]='Spring Start Degree Plan'!$B$36,Spring1st[[#This Row],[Spring 1st 7 wks]]='Spring Start Degree Plan'!$B$37),'Spring Start Degree Plan'!$B$32,IF(OR(Spring1st[[#This Row],[Spring 1st 7 wks]]='Spring Start Degree Plan'!$B$58,Spring1st[[#This Row],[Spring 1st 7 wks]]='Spring Start Degree Plan'!$B$59),'Spring Start Degree Plan'!$B$54,IF(OR(Spring1st[[#This Row],[Spring 1st 7 wks]]='Spring Start Degree Plan'!$B$80,Spring1st[[#This Row],[Spring 1st 7 wks]]='Spring Start Degree Plan'!$B$81),'Spring Start Degree Plan'!$B$76,"No")))),IF(START_TERM="Summer",IF(OR(Spring1st[[#This Row],[Spring 1st 7 wks]]='Summer Start Degree Plan'!$B$36,Spring1st[[#This Row],[Spring 1st 7 wks]]='Summer Start Degree Plan'!$B$37),'Summer Start Degree Plan'!$B$32,IF(OR(Spring1st[[#This Row],[Spring 1st 7 wks]]='Summer Start Degree Plan'!$B$58,Spring1st[[#This Row],[Spring 1st 7 wks]]='Summer Start Degree Plan'!$B$59),'Summer Start Degree Plan'!$B$54,IF(OR(Spring1st[[#This Row],[Spring 1st 7 wks]]='Summer Start Degree Plan'!$B$80,Spring1st[[#This Row],[Spring 1st 7 wks]]='Summer Start Degree Plan'!$B$81),'Summer Start Degree Plan'!$B$76,"No"))),"N/A")))</f>
        <v>No</v>
      </c>
    </row>
    <row r="35" spans="1:5" x14ac:dyDescent="0.25">
      <c r="A35" s="1" t="s">
        <v>68</v>
      </c>
      <c r="B35" s="1" t="s">
        <v>25</v>
      </c>
      <c r="C35" s="1" t="s">
        <v>44</v>
      </c>
      <c r="D35" s="1" t="s">
        <v>45</v>
      </c>
      <c r="E35" s="1" t="s">
        <v>46</v>
      </c>
    </row>
    <row r="36" spans="1:5" x14ac:dyDescent="0.25">
      <c r="A36" t="s">
        <v>35</v>
      </c>
      <c r="B36">
        <v>0</v>
      </c>
      <c r="E36" t="str">
        <f>IF(START_TERM="Fall",IF(OR(Spring2nd[[#This Row],[Spring 2nd 7 wks]]='Fall Start Degree Plan'!$B$27,Spring2nd[[#This Row],[Spring 2nd 7 wks]]='Fall Start Degree Plan'!$B$28),'Fall Start Degree Plan'!$B$21,IF(OR(Spring2nd[[#This Row],[Spring 2nd 7 wks]]='Fall Start Degree Plan'!$B$49,Spring2nd[[#This Row],[Spring 2nd 7 wks]]='Fall Start Degree Plan'!$B$50),'Fall Start Degree Plan'!$B$43,IF(OR(Spring2nd[[#This Row],[Spring 2nd 7 wks]]='Fall Start Degree Plan'!$B$71,Spring2nd[[#This Row],[Spring 2nd 7 wks]]='Fall Start Degree Plan'!$B$72),'Fall Start Degree Plan'!$B$65,IF(OR(Spring2nd[[#This Row],[Spring 2nd 7 wks]]='Fall Start Degree Plan'!$B$93,Spring2nd[[#This Row],[Spring 2nd 7 wks]]='Fall Start Degree Plan'!$B$94),'Fall Start Degree Plan'!$B$87,"No")))),IF(START_TERM="Spring",IF(OR(Spring2nd[[#This Row],[Spring 2nd 7 wks]]='Spring Start Degree Plan'!$B$16,Spring2nd[[#This Row],[Spring 2nd 7 wks]]='Spring Start Degree Plan'!$B$17),'Spring Start Degree Plan'!$B$9,IF(OR(Spring2nd[[#This Row],[Spring 2nd 7 wks]]='Spring Start Degree Plan'!$B$38,Spring2nd[[#This Row],[Spring 2nd 7 wks]]='Spring Start Degree Plan'!$B$39),'Spring Start Degree Plan'!$B$32,IF(OR(Spring2nd[[#This Row],[Spring 2nd 7 wks]]='Spring Start Degree Plan'!$B$61,Spring2nd[[#This Row],[Spring 2nd 7 wks]]='Spring Start Degree Plan'!$B$62),'Spring Start Degree Plan'!$B$54,IF(OR(Spring2nd[[#This Row],[Spring 2nd 7 wks]]='Spring Start Degree Plan'!$B$83,Spring2nd[[#This Row],[Spring 2nd 7 wks]]='Spring Start Degree Plan'!$B$84),'Spring Start Degree Plan'!$B$76,"No")))),IF(START_TERM="Summer",IF(OR(Spring2nd[[#This Row],[Spring 2nd 7 wks]]='Summer Start Degree Plan'!$B$38,Spring2nd[[#This Row],[Spring 2nd 7 wks]]='Summer Start Degree Plan'!$B$39),'Summer Start Degree Plan'!$B$32,IF(OR(Spring2nd[[#This Row],[Spring 2nd 7 wks]]='Summer Start Degree Plan'!$B$61,Spring2nd[[#This Row],[Spring 2nd 7 wks]]='Summer Start Degree Plan'!$B$62),'Summer Start Degree Plan'!$B$54,IF(OR(Spring2nd[[#This Row],[Spring 2nd 7 wks]]='Summer Start Degree Plan'!$B$83,Spring2nd[[#This Row],[Spring 2nd 7 wks]]='Summer Start Degree Plan'!$B$84),'Summer Start Degree Plan'!$B$76,"No"))),"N/A")))</f>
        <v>Spring 2024</v>
      </c>
    </row>
    <row r="37" spans="1:5" x14ac:dyDescent="0.25">
      <c r="A37" t="s">
        <v>69</v>
      </c>
      <c r="B37">
        <v>1.5</v>
      </c>
      <c r="C37" t="s">
        <v>48</v>
      </c>
      <c r="D37" t="s">
        <v>49</v>
      </c>
      <c r="E37" t="str">
        <f>IF(START_TERM="Fall",IF(OR(Spring2nd[[#This Row],[Spring 2nd 7 wks]]='Fall Start Degree Plan'!$B$27,Spring2nd[[#This Row],[Spring 2nd 7 wks]]='Fall Start Degree Plan'!$B$28),'Fall Start Degree Plan'!$B$21,IF(OR(Spring2nd[[#This Row],[Spring 2nd 7 wks]]='Fall Start Degree Plan'!$B$49,Spring2nd[[#This Row],[Spring 2nd 7 wks]]='Fall Start Degree Plan'!$B$50),'Fall Start Degree Plan'!$B$43,IF(OR(Spring2nd[[#This Row],[Spring 2nd 7 wks]]='Fall Start Degree Plan'!$B$71,Spring2nd[[#This Row],[Spring 2nd 7 wks]]='Fall Start Degree Plan'!$B$72),'Fall Start Degree Plan'!$B$65,IF(OR(Spring2nd[[#This Row],[Spring 2nd 7 wks]]='Fall Start Degree Plan'!$B$93,Spring2nd[[#This Row],[Spring 2nd 7 wks]]='Fall Start Degree Plan'!$B$94),'Fall Start Degree Plan'!$B$87,"No")))),IF(START_TERM="Spring",IF(OR(Spring2nd[[#This Row],[Spring 2nd 7 wks]]='Spring Start Degree Plan'!$B$16,Spring2nd[[#This Row],[Spring 2nd 7 wks]]='Spring Start Degree Plan'!$B$17),'Spring Start Degree Plan'!$B$9,IF(OR(Spring2nd[[#This Row],[Spring 2nd 7 wks]]='Spring Start Degree Plan'!$B$38,Spring2nd[[#This Row],[Spring 2nd 7 wks]]='Spring Start Degree Plan'!$B$39),'Spring Start Degree Plan'!$B$32,IF(OR(Spring2nd[[#This Row],[Spring 2nd 7 wks]]='Spring Start Degree Plan'!$B$61,Spring2nd[[#This Row],[Spring 2nd 7 wks]]='Spring Start Degree Plan'!$B$62),'Spring Start Degree Plan'!$B$54,IF(OR(Spring2nd[[#This Row],[Spring 2nd 7 wks]]='Spring Start Degree Plan'!$B$83,Spring2nd[[#This Row],[Spring 2nd 7 wks]]='Spring Start Degree Plan'!$B$84),'Spring Start Degree Plan'!$B$76,"No")))),IF(START_TERM="Summer",IF(OR(Spring2nd[[#This Row],[Spring 2nd 7 wks]]='Summer Start Degree Plan'!$B$38,Spring2nd[[#This Row],[Spring 2nd 7 wks]]='Summer Start Degree Plan'!$B$39),'Summer Start Degree Plan'!$B$32,IF(OR(Spring2nd[[#This Row],[Spring 2nd 7 wks]]='Summer Start Degree Plan'!$B$61,Spring2nd[[#This Row],[Spring 2nd 7 wks]]='Summer Start Degree Plan'!$B$62),'Summer Start Degree Plan'!$B$54,IF(OR(Spring2nd[[#This Row],[Spring 2nd 7 wks]]='Summer Start Degree Plan'!$B$83,Spring2nd[[#This Row],[Spring 2nd 7 wks]]='Summer Start Degree Plan'!$B$84),'Summer Start Degree Plan'!$B$76,"No"))),"N/A")))</f>
        <v>No</v>
      </c>
    </row>
    <row r="38" spans="1:5" x14ac:dyDescent="0.25">
      <c r="A38" t="s">
        <v>70</v>
      </c>
      <c r="B38">
        <v>2</v>
      </c>
      <c r="C38" t="s">
        <v>48</v>
      </c>
      <c r="D38" t="s">
        <v>49</v>
      </c>
      <c r="E38" t="str">
        <f>IF(START_TERM="Fall",IF(OR(Spring2nd[[#This Row],[Spring 2nd 7 wks]]='Fall Start Degree Plan'!$B$27,Spring2nd[[#This Row],[Spring 2nd 7 wks]]='Fall Start Degree Plan'!$B$28),'Fall Start Degree Plan'!$B$21,IF(OR(Spring2nd[[#This Row],[Spring 2nd 7 wks]]='Fall Start Degree Plan'!$B$49,Spring2nd[[#This Row],[Spring 2nd 7 wks]]='Fall Start Degree Plan'!$B$50),'Fall Start Degree Plan'!$B$43,IF(OR(Spring2nd[[#This Row],[Spring 2nd 7 wks]]='Fall Start Degree Plan'!$B$71,Spring2nd[[#This Row],[Spring 2nd 7 wks]]='Fall Start Degree Plan'!$B$72),'Fall Start Degree Plan'!$B$65,IF(OR(Spring2nd[[#This Row],[Spring 2nd 7 wks]]='Fall Start Degree Plan'!$B$93,Spring2nd[[#This Row],[Spring 2nd 7 wks]]='Fall Start Degree Plan'!$B$94),'Fall Start Degree Plan'!$B$87,"No")))),IF(START_TERM="Spring",IF(OR(Spring2nd[[#This Row],[Spring 2nd 7 wks]]='Spring Start Degree Plan'!$B$16,Spring2nd[[#This Row],[Spring 2nd 7 wks]]='Spring Start Degree Plan'!$B$17),'Spring Start Degree Plan'!$B$9,IF(OR(Spring2nd[[#This Row],[Spring 2nd 7 wks]]='Spring Start Degree Plan'!$B$38,Spring2nd[[#This Row],[Spring 2nd 7 wks]]='Spring Start Degree Plan'!$B$39),'Spring Start Degree Plan'!$B$32,IF(OR(Spring2nd[[#This Row],[Spring 2nd 7 wks]]='Spring Start Degree Plan'!$B$61,Spring2nd[[#This Row],[Spring 2nd 7 wks]]='Spring Start Degree Plan'!$B$62),'Spring Start Degree Plan'!$B$54,IF(OR(Spring2nd[[#This Row],[Spring 2nd 7 wks]]='Spring Start Degree Plan'!$B$83,Spring2nd[[#This Row],[Spring 2nd 7 wks]]='Spring Start Degree Plan'!$B$84),'Spring Start Degree Plan'!$B$76,"No")))),IF(START_TERM="Summer",IF(OR(Spring2nd[[#This Row],[Spring 2nd 7 wks]]='Summer Start Degree Plan'!$B$38,Spring2nd[[#This Row],[Spring 2nd 7 wks]]='Summer Start Degree Plan'!$B$39),'Summer Start Degree Plan'!$B$32,IF(OR(Spring2nd[[#This Row],[Spring 2nd 7 wks]]='Summer Start Degree Plan'!$B$61,Spring2nd[[#This Row],[Spring 2nd 7 wks]]='Summer Start Degree Plan'!$B$62),'Summer Start Degree Plan'!$B$54,IF(OR(Spring2nd[[#This Row],[Spring 2nd 7 wks]]='Summer Start Degree Plan'!$B$83,Spring2nd[[#This Row],[Spring 2nd 7 wks]]='Summer Start Degree Plan'!$B$84),'Summer Start Degree Plan'!$B$76,"No"))),"N/A")))</f>
        <v>No</v>
      </c>
    </row>
    <row r="39" spans="1:5" x14ac:dyDescent="0.25">
      <c r="A39" t="s">
        <v>51</v>
      </c>
      <c r="B39">
        <v>0</v>
      </c>
      <c r="E39" t="str">
        <f>IF(START_TERM="Fall",IF(OR(Spring2nd[[#This Row],[Spring 2nd 7 wks]]='Fall Start Degree Plan'!$B$27,Spring2nd[[#This Row],[Spring 2nd 7 wks]]='Fall Start Degree Plan'!$B$28),'Fall Start Degree Plan'!$B$21,IF(OR(Spring2nd[[#This Row],[Spring 2nd 7 wks]]='Fall Start Degree Plan'!$B$49,Spring2nd[[#This Row],[Spring 2nd 7 wks]]='Fall Start Degree Plan'!$B$50),'Fall Start Degree Plan'!$B$43,IF(OR(Spring2nd[[#This Row],[Spring 2nd 7 wks]]='Fall Start Degree Plan'!$B$71,Spring2nd[[#This Row],[Spring 2nd 7 wks]]='Fall Start Degree Plan'!$B$72),'Fall Start Degree Plan'!$B$65,IF(OR(Spring2nd[[#This Row],[Spring 2nd 7 wks]]='Fall Start Degree Plan'!$B$93,Spring2nd[[#This Row],[Spring 2nd 7 wks]]='Fall Start Degree Plan'!$B$94),'Fall Start Degree Plan'!$B$87,"No")))),IF(START_TERM="Spring",IF(OR(Spring2nd[[#This Row],[Spring 2nd 7 wks]]='Spring Start Degree Plan'!$B$16,Spring2nd[[#This Row],[Spring 2nd 7 wks]]='Spring Start Degree Plan'!$B$17),'Spring Start Degree Plan'!$B$9,IF(OR(Spring2nd[[#This Row],[Spring 2nd 7 wks]]='Spring Start Degree Plan'!$B$38,Spring2nd[[#This Row],[Spring 2nd 7 wks]]='Spring Start Degree Plan'!$B$39),'Spring Start Degree Plan'!$B$32,IF(OR(Spring2nd[[#This Row],[Spring 2nd 7 wks]]='Spring Start Degree Plan'!$B$61,Spring2nd[[#This Row],[Spring 2nd 7 wks]]='Spring Start Degree Plan'!$B$62),'Spring Start Degree Plan'!$B$54,IF(OR(Spring2nd[[#This Row],[Spring 2nd 7 wks]]='Spring Start Degree Plan'!$B$83,Spring2nd[[#This Row],[Spring 2nd 7 wks]]='Spring Start Degree Plan'!$B$84),'Spring Start Degree Plan'!$B$76,"No")))),IF(START_TERM="Summer",IF(OR(Spring2nd[[#This Row],[Spring 2nd 7 wks]]='Summer Start Degree Plan'!$B$38,Spring2nd[[#This Row],[Spring 2nd 7 wks]]='Summer Start Degree Plan'!$B$39),'Summer Start Degree Plan'!$B$32,IF(OR(Spring2nd[[#This Row],[Spring 2nd 7 wks]]='Summer Start Degree Plan'!$B$61,Spring2nd[[#This Row],[Spring 2nd 7 wks]]='Summer Start Degree Plan'!$B$62),'Summer Start Degree Plan'!$B$54,IF(OR(Spring2nd[[#This Row],[Spring 2nd 7 wks]]='Summer Start Degree Plan'!$B$83,Spring2nd[[#This Row],[Spring 2nd 7 wks]]='Summer Start Degree Plan'!$B$84),'Summer Start Degree Plan'!$B$76,"No"))),"N/A")))</f>
        <v>No</v>
      </c>
    </row>
    <row r="42" spans="1:5" x14ac:dyDescent="0.25">
      <c r="A42" s="1" t="s">
        <v>71</v>
      </c>
      <c r="B42" s="1" t="s">
        <v>25</v>
      </c>
      <c r="C42" s="1" t="s">
        <v>44</v>
      </c>
      <c r="D42" s="1" t="s">
        <v>45</v>
      </c>
      <c r="E42" s="1" t="s">
        <v>46</v>
      </c>
    </row>
    <row r="43" spans="1:5" x14ac:dyDescent="0.25">
      <c r="A43" t="s">
        <v>34</v>
      </c>
      <c r="B43">
        <v>0</v>
      </c>
      <c r="E43"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Summer 2024</v>
      </c>
    </row>
    <row r="44" spans="1:5" x14ac:dyDescent="0.25">
      <c r="A44" t="s">
        <v>72</v>
      </c>
      <c r="B44">
        <v>1.5</v>
      </c>
      <c r="C44" t="s">
        <v>48</v>
      </c>
      <c r="D44" t="s">
        <v>49</v>
      </c>
      <c r="E44"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45" spans="1:5" x14ac:dyDescent="0.25">
      <c r="A45" t="s">
        <v>73</v>
      </c>
      <c r="B45">
        <v>1.5</v>
      </c>
      <c r="C45" t="s">
        <v>48</v>
      </c>
      <c r="D45" t="s">
        <v>49</v>
      </c>
      <c r="E45"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46" spans="1:5" x14ac:dyDescent="0.25">
      <c r="A46" t="s">
        <v>65</v>
      </c>
      <c r="B46">
        <v>1.5</v>
      </c>
      <c r="C46" t="s">
        <v>48</v>
      </c>
      <c r="D46" t="s">
        <v>49</v>
      </c>
      <c r="E46"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47" spans="1:5" x14ac:dyDescent="0.25">
      <c r="A47" t="s">
        <v>74</v>
      </c>
      <c r="B47">
        <v>2</v>
      </c>
      <c r="C47" t="s">
        <v>48</v>
      </c>
      <c r="D47" t="s">
        <v>49</v>
      </c>
      <c r="E47"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48" spans="1:5" x14ac:dyDescent="0.25">
      <c r="A48" t="s">
        <v>75</v>
      </c>
      <c r="B48">
        <v>1.5</v>
      </c>
      <c r="C48" t="s">
        <v>48</v>
      </c>
      <c r="D48" t="s">
        <v>49</v>
      </c>
      <c r="E48"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49" spans="1:5" x14ac:dyDescent="0.25">
      <c r="A49" t="s">
        <v>76</v>
      </c>
      <c r="B49">
        <v>1</v>
      </c>
      <c r="C49" t="s">
        <v>48</v>
      </c>
      <c r="D49" t="s">
        <v>49</v>
      </c>
      <c r="E49"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50" spans="1:5" x14ac:dyDescent="0.25">
      <c r="A50" t="s">
        <v>77</v>
      </c>
      <c r="B50">
        <v>2</v>
      </c>
      <c r="C50" t="s">
        <v>48</v>
      </c>
      <c r="D50" t="s">
        <v>49</v>
      </c>
      <c r="E50"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51" spans="1:5" x14ac:dyDescent="0.25">
      <c r="A51" t="s">
        <v>78</v>
      </c>
      <c r="B51">
        <v>2</v>
      </c>
      <c r="C51" t="s">
        <v>48</v>
      </c>
      <c r="D51" t="s">
        <v>49</v>
      </c>
      <c r="E51"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52" spans="1:5" x14ac:dyDescent="0.25">
      <c r="A52" t="s">
        <v>79</v>
      </c>
      <c r="B52">
        <v>1.5</v>
      </c>
      <c r="C52" t="s">
        <v>48</v>
      </c>
      <c r="D52" t="s">
        <v>49</v>
      </c>
      <c r="E52"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53" spans="1:5" x14ac:dyDescent="0.25">
      <c r="A53" t="s">
        <v>51</v>
      </c>
      <c r="B53">
        <v>0</v>
      </c>
      <c r="E53" t="str">
        <f>IF(START_TERM="Fall",IF(OR(Summer1st[[#This Row],[Summer 1st 7 wks]]='Fall Start Degree Plan'!$E$23,Summer1st[[#This Row],[Summer 1st 7 wks]]='Fall Start Degree Plan'!$E$24),'Fall Start Degree Plan'!$E$21,IF(OR(Summer1st[[#This Row],[Summer 1st 7 wks]]='Fall Start Degree Plan'!$E$45,Summer1st[[#This Row],[Summer 1st 7 wks]]='Fall Start Degree Plan'!$E$46),'Fall Start Degree Plan'!$E$43,IF(OR(Summer1st[[#This Row],[Summer 1st 7 wks]]='Fall Start Degree Plan'!$E$67,Summer1st[[#This Row],[Summer 1st 7 wks]]='Fall Start Degree Plan'!$E$68),'Fall Start Degree Plan'!$E$65,IF(OR(Summer1st[[#This Row],[Summer 1st 7 wks]]='Fall Start Degree Plan'!$E$89,Summer1st[[#This Row],[Summer 1st 7 wks]]='Fall Start Degree Plan'!$E$90),'Fall Start Degree Plan'!$E$87,"No")))),IF(START_TERM="Spring",IF(OR(Summer1st[[#This Row],[Summer 1st 7 wks]]='Spring Start Degree Plan'!$E$11,Summer1st[[#This Row],[Summer 1st 7 wks]]='Spring Start Degree Plan'!$E$12),'Spring Start Degree Plan'!$E$9,IF(OR(Summer1st[[#This Row],[Summer 1st 7 wks]]='Spring Start Degree Plan'!$E$34,Summer1st[[#This Row],[Summer 1st 7 wks]]='Spring Start Degree Plan'!$E$35),'Spring Start Degree Plan'!$E$32,IF(OR(Summer1st[[#This Row],[Summer 1st 7 wks]]='Spring Start Degree Plan'!$E$56,Summer1st[[#This Row],[Summer 1st 7 wks]]='Spring Start Degree Plan'!$E$57),'Spring Start Degree Plan'!$E$54,IF(OR(Summer1st[[#This Row],[Summer 1st 7 wks]]='Spring Start Degree Plan'!$E$78,Summer1st[[#This Row],[Summer 1st 7 wks]]='Spring Start Degree Plan'!$E$79),'Spring Start Degree Plan'!$E$76,"No")))),IF(START_TERM="Summer",IF(OR(Summer1st[[#This Row],[Summer 1st 7 wks]]='Summer Start Degree Plan'!$B$14,Summer1st[[#This Row],[Summer 1st 7 wks]]='Summer Start Degree Plan'!$B$15),'Summer Start Degree Plan'!$B$9,IF(OR(Summer1st[[#This Row],[Summer 1st 7 wks]]='Summer Start Degree Plan'!$E$34,Summer1st[[#This Row],[Summer 1st 7 wks]]='Summer Start Degree Plan'!$E$35),'Summer Start Degree Plan'!$E$32,IF(OR(Summer1st[[#This Row],[Summer 1st 7 wks]]='Summer Start Degree Plan'!$E$56,Summer1st[[#This Row],[Summer 1st 7 wks]]='Summer Start Degree Plan'!$E$57),'Summer Start Degree Plan'!$E$54,IF(OR(Summer1st[[#This Row],[Summer 1st 7 wks]]='Summer Start Degree Plan'!$E$78,Summer1st[[#This Row],[Summer 1st 7 wks]]='Summer Start Degree Plan'!$E$79),'Summer Start Degree Plan'!$E$76,"No")))),"N/A")))</f>
        <v>No</v>
      </c>
    </row>
    <row r="56" spans="1:5" x14ac:dyDescent="0.25">
      <c r="A56" s="1" t="s">
        <v>80</v>
      </c>
      <c r="B56" s="1" t="s">
        <v>25</v>
      </c>
      <c r="C56" s="1" t="s">
        <v>44</v>
      </c>
      <c r="D56" s="1" t="s">
        <v>45</v>
      </c>
      <c r="E56" s="1" t="s">
        <v>46</v>
      </c>
    </row>
    <row r="57" spans="1:5" x14ac:dyDescent="0.25">
      <c r="A57" t="s">
        <v>35</v>
      </c>
      <c r="B57">
        <v>0</v>
      </c>
      <c r="E57"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Summer 2024</v>
      </c>
    </row>
    <row r="58" spans="1:5" x14ac:dyDescent="0.25">
      <c r="A58" t="s">
        <v>58</v>
      </c>
      <c r="B58">
        <v>1</v>
      </c>
      <c r="C58" t="s">
        <v>48</v>
      </c>
      <c r="D58" t="s">
        <v>55</v>
      </c>
      <c r="E58"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59" spans="1:5" x14ac:dyDescent="0.25">
      <c r="A59" t="s">
        <v>59</v>
      </c>
      <c r="B59">
        <v>1</v>
      </c>
      <c r="C59" t="s">
        <v>48</v>
      </c>
      <c r="D59" t="s">
        <v>55</v>
      </c>
      <c r="E59"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0" spans="1:5" x14ac:dyDescent="0.25">
      <c r="A60" t="s">
        <v>81</v>
      </c>
      <c r="B60">
        <v>1.5</v>
      </c>
      <c r="C60" t="s">
        <v>48</v>
      </c>
      <c r="D60" t="s">
        <v>49</v>
      </c>
      <c r="E60"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1" spans="1:5" x14ac:dyDescent="0.25">
      <c r="A61" t="s">
        <v>82</v>
      </c>
      <c r="B61">
        <v>1</v>
      </c>
      <c r="C61" t="s">
        <v>48</v>
      </c>
      <c r="D61" t="s">
        <v>49</v>
      </c>
      <c r="E61"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2" spans="1:5" x14ac:dyDescent="0.25">
      <c r="A62" t="s">
        <v>83</v>
      </c>
      <c r="B62">
        <v>2</v>
      </c>
      <c r="C62" t="s">
        <v>48</v>
      </c>
      <c r="D62" t="s">
        <v>55</v>
      </c>
      <c r="E62"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3" spans="1:5" x14ac:dyDescent="0.25">
      <c r="A63" t="s">
        <v>84</v>
      </c>
      <c r="B63">
        <v>1.5</v>
      </c>
      <c r="C63" t="s">
        <v>48</v>
      </c>
      <c r="D63" t="s">
        <v>49</v>
      </c>
      <c r="E63"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4" spans="1:5" x14ac:dyDescent="0.25">
      <c r="A64" t="s">
        <v>85</v>
      </c>
      <c r="B64">
        <v>1.5</v>
      </c>
      <c r="C64" t="s">
        <v>48</v>
      </c>
      <c r="D64" t="s">
        <v>49</v>
      </c>
      <c r="E64"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5" spans="1:5" x14ac:dyDescent="0.25">
      <c r="A65" t="s">
        <v>86</v>
      </c>
      <c r="B65">
        <v>2</v>
      </c>
      <c r="C65" t="s">
        <v>48</v>
      </c>
      <c r="D65" t="s">
        <v>49</v>
      </c>
      <c r="E65"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6" spans="1:5" x14ac:dyDescent="0.25">
      <c r="A66" t="s">
        <v>87</v>
      </c>
      <c r="B66">
        <v>2</v>
      </c>
      <c r="C66" t="s">
        <v>48</v>
      </c>
      <c r="D66" t="s">
        <v>49</v>
      </c>
      <c r="E66"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7" spans="1:5" x14ac:dyDescent="0.25">
      <c r="A67" t="s">
        <v>88</v>
      </c>
      <c r="B67">
        <v>2</v>
      </c>
      <c r="C67" t="s">
        <v>48</v>
      </c>
      <c r="D67" t="s">
        <v>49</v>
      </c>
      <c r="E67"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68" spans="1:5" x14ac:dyDescent="0.25">
      <c r="A68" t="s">
        <v>51</v>
      </c>
      <c r="B68">
        <v>0</v>
      </c>
      <c r="E68" t="str">
        <f>IF(START_TERM="Fall",IF(OR(Summer2nd[[#This Row],[Summer 2nd 7 wks]]='Fall Start Degree Plan'!$E$25,Summer2nd[[#This Row],[Summer 2nd 7 wks]]='Fall Start Degree Plan'!$E$26),'Fall Start Degree Plan'!$E$21,IF(OR(Summer2nd[[#This Row],[Summer 2nd 7 wks]]='Fall Start Degree Plan'!$E$47,Summer2nd[[#This Row],[Summer 2nd 7 wks]]='Fall Start Degree Plan'!$E$48),'Fall Start Degree Plan'!$E$43,IF(OR(Summer2nd[[#This Row],[Summer 2nd 7 wks]]='Fall Start Degree Plan'!$E$69,Summer2nd[[#This Row],[Summer 2nd 7 wks]]='Fall Start Degree Plan'!$E$70),'Fall Start Degree Plan'!$E$65,IF(OR(Summer2nd[[#This Row],[Summer 2nd 7 wks]]='Fall Start Degree Plan'!$E$91,Summer2nd[[#This Row],[Summer 2nd 7 wks]]='Fall Start Degree Plan'!$E$92),'Fall Start Degree Plan'!$E$87,"No")))),IF(START_TERM="Spring",IF(OR(Summer2nd[[#This Row],[Summer 2nd 7 wks]]='Spring Start Degree Plan'!$E$13,Summer2nd[[#This Row],[Summer 2nd 7 wks]]='Spring Start Degree Plan'!$E$14),'Spring Start Degree Plan'!$E$9,IF(OR(Summer2nd[[#This Row],[Summer 2nd 7 wks]]='Spring Start Degree Plan'!$E$36,Summer2nd[[#This Row],[Summer 2nd 7 wks]]='Spring Start Degree Plan'!$E$37),'Spring Start Degree Plan'!$E$32,IF(OR(Summer2nd[[#This Row],[Summer 2nd 7 wks]]='Spring Start Degree Plan'!$E$58,Summer2nd[[#This Row],[Summer 2nd 7 wks]]='Spring Start Degree Plan'!$E$59),'Spring Start Degree Plan'!$E$54,IF(OR(Summer2nd[[#This Row],[Summer 2nd 7 wks]]='Spring Start Degree Plan'!$E$80,Summer2nd[[#This Row],[Summer 2nd 7 wks]]='Spring Start Degree Plan'!$E$81),'Spring Start Degree Plan'!$E$76,"No")))),IF(START_TERM="Summer",IF(OR(Summer2nd[[#This Row],[Summer 2nd 7 wks]]='Summer Start Degree Plan'!$B$16,Summer2nd[[#This Row],[Summer 2nd 7 wks]]='Summer Start Degree Plan'!$B$17),'Summer Start Degree Plan'!$B$9,IF(OR(Summer2nd[[#This Row],[Summer 2nd 7 wks]]='Summer Start Degree Plan'!$E$36,Summer2nd[[#This Row],[Summer 2nd 7 wks]]='Summer Start Degree Plan'!$E$37),'Summer Start Degree Plan'!$E$32,IF(OR(Summer2nd[[#This Row],[Summer 2nd 7 wks]]='Summer Start Degree Plan'!$E$58,Summer2nd[[#This Row],[Summer 2nd 7 wks]]='Summer Start Degree Plan'!$E$59),'Summer Start Degree Plan'!$E$54,IF(OR(Summer2nd[[#This Row],[Summer 2nd 7 wks]]='Summer Start Degree Plan'!$E$80,Summer2nd[[#This Row],[Summer 2nd 7 wks]]='Summer Start Degree Plan'!$E$81),'Summer Start Degree Plan'!$E$76,"No")))),"N/A")))</f>
        <v>No</v>
      </c>
    </row>
    <row r="71" spans="1:5" x14ac:dyDescent="0.25">
      <c r="A71" s="1" t="s">
        <v>18</v>
      </c>
      <c r="B71" s="1" t="s">
        <v>25</v>
      </c>
      <c r="C71" t="s">
        <v>44</v>
      </c>
      <c r="D71" t="s">
        <v>45</v>
      </c>
      <c r="E71" t="s">
        <v>46</v>
      </c>
    </row>
    <row r="72" spans="1:5" x14ac:dyDescent="0.25">
      <c r="A72" t="s">
        <v>31</v>
      </c>
      <c r="B72">
        <v>0</v>
      </c>
      <c r="E72"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Fall 2024</v>
      </c>
    </row>
    <row r="73" spans="1:5" x14ac:dyDescent="0.25">
      <c r="A73" t="s">
        <v>30</v>
      </c>
      <c r="B73">
        <v>1</v>
      </c>
      <c r="C73" t="s">
        <v>89</v>
      </c>
      <c r="D73" t="s">
        <v>49</v>
      </c>
      <c r="E73"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Spring 2024</v>
      </c>
    </row>
    <row r="74" spans="1:5" x14ac:dyDescent="0.25">
      <c r="A74" t="s">
        <v>37</v>
      </c>
      <c r="B74">
        <v>4</v>
      </c>
      <c r="C74" t="s">
        <v>89</v>
      </c>
      <c r="D74" t="s">
        <v>49</v>
      </c>
      <c r="E74"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Fall 2024</v>
      </c>
    </row>
    <row r="75" spans="1:5" x14ac:dyDescent="0.25">
      <c r="A75" t="s">
        <v>38</v>
      </c>
      <c r="B75">
        <v>4</v>
      </c>
      <c r="C75" t="s">
        <v>89</v>
      </c>
      <c r="D75" t="s">
        <v>49</v>
      </c>
      <c r="E75"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Spring 2025</v>
      </c>
    </row>
    <row r="76" spans="1:5" x14ac:dyDescent="0.25">
      <c r="A76" t="s">
        <v>39</v>
      </c>
      <c r="B76">
        <v>4</v>
      </c>
      <c r="C76" t="s">
        <v>89</v>
      </c>
      <c r="D76" t="s">
        <v>49</v>
      </c>
      <c r="E76"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Fall 2025</v>
      </c>
    </row>
    <row r="77" spans="1:5" x14ac:dyDescent="0.25">
      <c r="A77" t="s">
        <v>40</v>
      </c>
      <c r="B77">
        <v>4</v>
      </c>
      <c r="C77" t="s">
        <v>89</v>
      </c>
      <c r="D77" t="s">
        <v>49</v>
      </c>
      <c r="E77"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Spring 2026</v>
      </c>
    </row>
    <row r="78" spans="1:5" x14ac:dyDescent="0.25">
      <c r="A78" t="s">
        <v>41</v>
      </c>
      <c r="B78">
        <v>4</v>
      </c>
      <c r="C78" t="s">
        <v>89</v>
      </c>
      <c r="D78" t="s">
        <v>49</v>
      </c>
      <c r="E78"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Fall 2026</v>
      </c>
    </row>
    <row r="79" spans="1:5" x14ac:dyDescent="0.25">
      <c r="A79" t="s">
        <v>32</v>
      </c>
      <c r="B79">
        <v>2</v>
      </c>
      <c r="C79" t="s">
        <v>90</v>
      </c>
      <c r="D79" t="s">
        <v>49</v>
      </c>
      <c r="E79"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Spring 2024</v>
      </c>
    </row>
    <row r="80" spans="1:5" x14ac:dyDescent="0.25">
      <c r="A80" t="s">
        <v>33</v>
      </c>
      <c r="B80">
        <v>2</v>
      </c>
      <c r="C80" t="s">
        <v>90</v>
      </c>
      <c r="D80" t="s">
        <v>49</v>
      </c>
      <c r="E80"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Spring 2024</v>
      </c>
    </row>
    <row r="81" spans="1:5" x14ac:dyDescent="0.25">
      <c r="A81" t="s">
        <v>42</v>
      </c>
      <c r="B81">
        <v>1</v>
      </c>
      <c r="C81" t="s">
        <v>89</v>
      </c>
      <c r="D81" t="s">
        <v>49</v>
      </c>
      <c r="E81"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Fall 2026</v>
      </c>
    </row>
    <row r="82" spans="1:5" x14ac:dyDescent="0.25">
      <c r="A82" t="s">
        <v>51</v>
      </c>
      <c r="B82">
        <v>0</v>
      </c>
      <c r="E82" t="str">
        <f>IF(START_TERM="Fall",IF(OR(Core[[#This Row],[Core Courses]]='Fall Start Degree Plan'!$B$11,Core[[#This Row],[Core Courses]]='Fall Start Degree Plan'!$B$12,Core[[#This Row],[Core Courses]]='Fall Start Degree Plan'!$B$13),'Fall Start Degree Plan'!$B$9,IF(OR(Core[[#This Row],[Core Courses]]='Fall Start Degree Plan'!$B$23,Core[[#This Row],[Core Courses]]='Fall Start Degree Plan'!$B$24),'Fall Start Degree Plan'!$B$21,IF(OR(Core[[#This Row],[Core Courses]]='Fall Start Degree Plan'!$B$34,Core[[#This Row],[Core Courses]]='Fall Start Degree Plan'!$B$35),'Fall Start Degree Plan'!$B$32,IF(OR(Core[[#This Row],[Core Courses]]='Fall Start Degree Plan'!$B$45,Core[[#This Row],[Core Courses]]='Fall Start Degree Plan'!$B$46),'Fall Start Degree Plan'!$B$43,IF(OR(Core[[#This Row],[Core Courses]]='Fall Start Degree Plan'!$B$56,Core[[#This Row],[Core Courses]]='Fall Start Degree Plan'!$B$57),'Fall Start Degree Plan'!$B$54,IF(OR(Core[[#This Row],[Core Courses]]='Fall Start Degree Plan'!$B$67,Core[[#This Row],[Core Courses]]='Fall Start Degree Plan'!$B$68),'Fall Start Degree Plan'!$B$65,IF(OR(Core[[#This Row],[Core Courses]]='Fall Start Degree Plan'!$B$78,Core[[#This Row],[Core Courses]]='Fall Start Degree Plan'!$B$79),'Fall Start Degree Plan'!$B$76,IF(OR(Core[[#This Row],[Core Courses]]='Fall Start Degree Plan'!$B$89,Core[[#This Row],[Core Courses]]='Fall Start Degree Plan'!$B$90),'Fall Start Degree Plan'!$B$87,"No")))))))),IF(START_TERM="Spring",IF(OR(Core[[#This Row],[Core Courses]]='Spring Start Degree Plan'!$B$11,Core[[#This Row],[Core Courses]]='Spring Start Degree Plan'!$B$12,Core[[#This Row],[Core Courses]]='Spring Start Degree Plan'!$B$13),'Spring Start Degree Plan'!$B$9,IF(OR(Core[[#This Row],[Core Courses]]='Spring Start Degree Plan'!$B$23,Core[[#This Row],[Core Courses]]='Spring Start Degree Plan'!$B$24),'Spring Start Degree Plan'!$B$21,IF(OR(Core[[#This Row],[Core Courses]]='Spring Start Degree Plan'!$B$34,Core[[#This Row],[Core Courses]]='Spring Start Degree Plan'!$B$35),'Spring Start Degree Plan'!$B$32,IF(OR(Core[[#This Row],[Core Courses]]='Spring Start Degree Plan'!$B$45,Core[[#This Row],[Core Courses]]='Spring Start Degree Plan'!$B$46),'Spring Start Degree Plan'!$B$43,IF(OR(Core[[#This Row],[Core Courses]]='Spring Start Degree Plan'!$B$56,Core[[#This Row],[Core Courses]]='Spring Start Degree Plan'!$B$57),'Spring Start Degree Plan'!$B$54,IF(OR(Core[[#This Row],[Core Courses]]='Spring Start Degree Plan'!$B$67,Core[[#This Row],[Core Courses]]='Spring Start Degree Plan'!$B$68),'Spring Start Degree Plan'!$B$65,IF(OR(Core[[#This Row],[Core Courses]]='Spring Start Degree Plan'!$B$78,Core[[#This Row],[Core Courses]]='Spring Start Degree Plan'!$B$79),'Spring Start Degree Plan'!$B$76,IF(OR(Core[[#This Row],[Core Courses]]='Spring Start Degree Plan'!$B$89,Core[[#This Row],[Core Courses]]='Spring Start Degree Plan'!$B$90),'Spring Start Degree Plan'!$B$87,"No")))))))),IF(START_TERM="Summer",IF(OR(Core[[#This Row],[Core Courses]]='Summer Start Degree Plan'!$B$11,Core[[#This Row],[Core Courses]]='Summer Start Degree Plan'!$B$12,Core[[#This Row],[Core Courses]]='Summer Start Degree Plan'!$B$13),'Summer Start Degree Plan'!$B$9,IF(OR(Core[[#This Row],[Core Courses]]='Summer Start Degree Plan'!$B$23,Core[[#This Row],[Core Courses]]='Summer Start Degree Plan'!$B$24),'Summer Start Degree Plan'!$B$21,IF(OR(Core[[#This Row],[Core Courses]]='Summer Start Degree Plan'!$B$34,Core[[#This Row],[Core Courses]]='Summer Start Degree Plan'!$B$35),'Summer Start Degree Plan'!$B$32,IF(OR(Core[[#This Row],[Core Courses]]='Summer Start Degree Plan'!$B$45,Core[[#This Row],[Core Courses]]='Summer Start Degree Plan'!$B$46),'Summer Start Degree Plan'!$B$43,IF(OR(Core[[#This Row],[Core Courses]]='Summer Start Degree Plan'!$B$56,Core[[#This Row],[Core Courses]]='Summer Start Degree Plan'!$B$57),'Summer Start Degree Plan'!$B$54,IF(OR(Core[[#This Row],[Core Courses]]='Summer Start Degree Plan'!$B$67,Core[[#This Row],[Core Courses]]='Summer Start Degree Plan'!$B$68),'Summer Start Degree Plan'!$B$65,IF(OR(Core[[#This Row],[Core Courses]]='Summer Start Degree Plan'!$B$78,Core[[#This Row],[Core Courses]]='Summer Start Degree Plan'!$B$79),'Summer Start Degree Plan'!$B$76,IF(OR(Core[[#This Row],[Core Courses]]='Summer Start Degree Plan'!$B$89,Core[[#This Row],[Core Courses]]='Summer Start Degree Plan'!$B$90),'Summer Start Degree Plan'!$B$87,"No")))))))),"N/A")))</f>
        <v>No</v>
      </c>
    </row>
    <row r="85" spans="1:5" x14ac:dyDescent="0.25">
      <c r="A85" s="1" t="s">
        <v>91</v>
      </c>
      <c r="B85" s="1"/>
    </row>
    <row r="86" spans="1:5" x14ac:dyDescent="0.25">
      <c r="A86" t="s">
        <v>4</v>
      </c>
      <c r="B86" s="1"/>
    </row>
    <row r="87" spans="1:5" x14ac:dyDescent="0.25">
      <c r="A87" t="s">
        <v>92</v>
      </c>
    </row>
    <row r="88" spans="1:5" x14ac:dyDescent="0.25">
      <c r="A88" t="s">
        <v>93</v>
      </c>
    </row>
  </sheetData>
  <pageMargins left="0.7" right="0.7" top="0.75" bottom="0.75" header="0.3" footer="0.3"/>
  <pageSetup orientation="portrait" horizontalDpi="4294967293" r:id="rId1"/>
  <tableParts count="9">
    <tablePart r:id="rId2"/>
    <tablePart r:id="rId3"/>
    <tablePart r:id="rId4"/>
    <tablePart r:id="rId5"/>
    <tablePart r:id="rId6"/>
    <tablePart r:id="rId7"/>
    <tablePart r:id="rId8"/>
    <tablePart r:id="rId9"/>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EDBA1-DC8C-4734-84C1-381023AF878A}">
  <dimension ref="A1:B7"/>
  <sheetViews>
    <sheetView workbookViewId="0">
      <selection activeCell="A3" sqref="A3"/>
    </sheetView>
  </sheetViews>
  <sheetFormatPr defaultRowHeight="15" x14ac:dyDescent="0.25"/>
  <cols>
    <col min="1" max="1" width="103.140625" customWidth="1"/>
    <col min="2" max="2" width="30.28515625" bestFit="1" customWidth="1"/>
  </cols>
  <sheetData>
    <row r="1" spans="1:2" x14ac:dyDescent="0.25">
      <c r="A1" t="s">
        <v>94</v>
      </c>
      <c r="B1" t="s">
        <v>95</v>
      </c>
    </row>
    <row r="2" spans="1:2" x14ac:dyDescent="0.25">
      <c r="A2" t="s">
        <v>96</v>
      </c>
      <c r="B2" t="s">
        <v>97</v>
      </c>
    </row>
    <row r="3" spans="1:2" x14ac:dyDescent="0.25">
      <c r="A3" t="s">
        <v>98</v>
      </c>
      <c r="B3" t="s">
        <v>99</v>
      </c>
    </row>
    <row r="4" spans="1:2" x14ac:dyDescent="0.25">
      <c r="A4" t="s">
        <v>100</v>
      </c>
      <c r="B4" t="s">
        <v>101</v>
      </c>
    </row>
    <row r="5" spans="1:2" x14ac:dyDescent="0.25">
      <c r="A5" t="s">
        <v>102</v>
      </c>
      <c r="B5" t="s">
        <v>103</v>
      </c>
    </row>
    <row r="6" spans="1:2" x14ac:dyDescent="0.25">
      <c r="A6" t="s">
        <v>104</v>
      </c>
      <c r="B6" t="s">
        <v>105</v>
      </c>
    </row>
    <row r="7" spans="1:2" x14ac:dyDescent="0.25">
      <c r="A7" t="s">
        <v>106</v>
      </c>
      <c r="B7" t="s">
        <v>107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d3a623c-1e42-46e7-b3d5-746a5ea3f352">
      <Terms xmlns="http://schemas.microsoft.com/office/infopath/2007/PartnerControls"/>
    </lcf76f155ced4ddcb4097134ff3c332f>
    <TaxCatchAll xmlns="dfca23e0-1dd3-4707-8afc-15a351ad68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7BD6E34D6B62498200DA8627DB0D28" ma:contentTypeVersion="18" ma:contentTypeDescription="Create a new document." ma:contentTypeScope="" ma:versionID="bbc08ec55b6c835b21df6e76ef2c4e58">
  <xsd:schema xmlns:xsd="http://www.w3.org/2001/XMLSchema" xmlns:xs="http://www.w3.org/2001/XMLSchema" xmlns:p="http://schemas.microsoft.com/office/2006/metadata/properties" xmlns:ns2="0d3a623c-1e42-46e7-b3d5-746a5ea3f352" xmlns:ns3="dfca23e0-1dd3-4707-8afc-15a351ad685a" targetNamespace="http://schemas.microsoft.com/office/2006/metadata/properties" ma:root="true" ma:fieldsID="4a4f144c2cc0f76cc9fd3e3710340fae" ns2:_="" ns3:_="">
    <xsd:import namespace="0d3a623c-1e42-46e7-b3d5-746a5ea3f352"/>
    <xsd:import namespace="dfca23e0-1dd3-4707-8afc-15a351ad68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a623c-1e42-46e7-b3d5-746a5ea3f3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c757a21-361f-4b2b-be89-bd491c00ed5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ca23e0-1dd3-4707-8afc-15a351ad685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b78fd2b-e4d7-4936-8833-f9f5b14177ad}" ma:internalName="TaxCatchAll" ma:showField="CatchAllData" ma:web="dfca23e0-1dd3-4707-8afc-15a351ad68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A9C63F-2EF2-4207-A259-A55F72CDD6B1}">
  <ds:schemaRefs>
    <ds:schemaRef ds:uri="http://schemas.microsoft.com/office/2006/documentManagement/types"/>
    <ds:schemaRef ds:uri="http://purl.org/dc/elements/1.1/"/>
    <ds:schemaRef ds:uri="http://schemas.microsoft.com/office/infopath/2007/PartnerControls"/>
    <ds:schemaRef ds:uri="bc16eb0d-f05b-4acb-9038-8f00fbcae96a"/>
    <ds:schemaRef ds:uri="2492735e-8215-4eff-8eea-9c9322336e73"/>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0d3a623c-1e42-46e7-b3d5-746a5ea3f352"/>
    <ds:schemaRef ds:uri="dfca23e0-1dd3-4707-8afc-15a351ad685a"/>
  </ds:schemaRefs>
</ds:datastoreItem>
</file>

<file path=customXml/itemProps2.xml><?xml version="1.0" encoding="utf-8"?>
<ds:datastoreItem xmlns:ds="http://schemas.openxmlformats.org/officeDocument/2006/customXml" ds:itemID="{733DBC43-3E4B-44E1-9113-A355A49317FA}">
  <ds:schemaRefs>
    <ds:schemaRef ds:uri="http://schemas.microsoft.com/sharepoint/v3/contenttype/forms"/>
  </ds:schemaRefs>
</ds:datastoreItem>
</file>

<file path=customXml/itemProps3.xml><?xml version="1.0" encoding="utf-8"?>
<ds:datastoreItem xmlns:ds="http://schemas.openxmlformats.org/officeDocument/2006/customXml" ds:itemID="{D4F2DA06-DD50-4037-B002-5C85706E1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a623c-1e42-46e7-b3d5-746a5ea3f352"/>
    <ds:schemaRef ds:uri="dfca23e0-1dd3-4707-8afc-15a351ad68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START HERE--&gt;Directions</vt:lpstr>
      <vt:lpstr>Fall Start Degree Plan</vt:lpstr>
      <vt:lpstr>Spring Start Degree Plan</vt:lpstr>
      <vt:lpstr>Summer Start Degree Plan</vt:lpstr>
      <vt:lpstr>Courses</vt:lpstr>
      <vt:lpstr>Alerts</vt:lpstr>
      <vt:lpstr>DEGREE_TYPE</vt:lpstr>
      <vt:lpstr>HCM_Elective_Warning</vt:lpstr>
      <vt:lpstr>START_TERM</vt:lpstr>
      <vt:lpstr>START_YEAR</vt:lpstr>
      <vt:lpstr>YOUR_NAME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Funk-Johnson, Rachel</dc:creator>
  <cp:keywords/>
  <dc:description/>
  <cp:lastModifiedBy>Meinholz, Kevin A.</cp:lastModifiedBy>
  <cp:revision/>
  <dcterms:created xsi:type="dcterms:W3CDTF">2020-07-13T12:43:54Z</dcterms:created>
  <dcterms:modified xsi:type="dcterms:W3CDTF">2024-01-31T17:50:41Z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e01c0c-f9b3-4dc4-af0b-a82110cc37cd_Enabled">
    <vt:lpwstr>True</vt:lpwstr>
  </property>
  <property fmtid="{D5CDD505-2E9C-101B-9397-08002B2CF9AE}" pid="3" name="MSIP_Label_6be01c0c-f9b3-4dc4-af0b-a82110cc37cd_SiteId">
    <vt:lpwstr>a1f1e214-7ded-45b6-81a1-9e8ae3459641</vt:lpwstr>
  </property>
  <property fmtid="{D5CDD505-2E9C-101B-9397-08002B2CF9AE}" pid="4" name="MSIP_Label_6be01c0c-f9b3-4dc4-af0b-a82110cc37cd_Owner">
    <vt:lpwstr>jhum2@jci.com</vt:lpwstr>
  </property>
  <property fmtid="{D5CDD505-2E9C-101B-9397-08002B2CF9AE}" pid="5" name="MSIP_Label_6be01c0c-f9b3-4dc4-af0b-a82110cc37cd_SetDate">
    <vt:lpwstr>2020-07-13T12:55:46.0730018Z</vt:lpwstr>
  </property>
  <property fmtid="{D5CDD505-2E9C-101B-9397-08002B2CF9AE}" pid="6" name="MSIP_Label_6be01c0c-f9b3-4dc4-af0b-a82110cc37cd_Name">
    <vt:lpwstr>Internal</vt:lpwstr>
  </property>
  <property fmtid="{D5CDD505-2E9C-101B-9397-08002B2CF9AE}" pid="7" name="MSIP_Label_6be01c0c-f9b3-4dc4-af0b-a82110cc37cd_Application">
    <vt:lpwstr>Microsoft Azure Information Protection</vt:lpwstr>
  </property>
  <property fmtid="{D5CDD505-2E9C-101B-9397-08002B2CF9AE}" pid="8" name="MSIP_Label_6be01c0c-f9b3-4dc4-af0b-a82110cc37cd_ActionId">
    <vt:lpwstr>1f17072b-59e2-4646-acd6-dc5d31ed7cfc</vt:lpwstr>
  </property>
  <property fmtid="{D5CDD505-2E9C-101B-9397-08002B2CF9AE}" pid="9" name="MSIP_Label_6be01c0c-f9b3-4dc4-af0b-a82110cc37cd_Extended_MSFT_Method">
    <vt:lpwstr>Automatic</vt:lpwstr>
  </property>
  <property fmtid="{D5CDD505-2E9C-101B-9397-08002B2CF9AE}" pid="10" name="Information Classification">
    <vt:lpwstr>Internal</vt:lpwstr>
  </property>
  <property fmtid="{D5CDD505-2E9C-101B-9397-08002B2CF9AE}" pid="11" name="ContentTypeId">
    <vt:lpwstr>0x010100B27BD6E34D6B62498200DA8627DB0D28</vt:lpwstr>
  </property>
  <property fmtid="{D5CDD505-2E9C-101B-9397-08002B2CF9AE}" pid="12" name="MediaServiceImageTags">
    <vt:lpwstr/>
  </property>
</Properties>
</file>